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002 - RM\2024\RM 25 - 10-12-2024\2024-25-409 - JCH - Komunikace K Lávce-ZL a Dod. č.1\"/>
    </mc:Choice>
  </mc:AlternateContent>
  <xr:revisionPtr revIDLastSave="0" documentId="8_{7B31CF6C-C798-4A79-B095-52B60B4DEA70}" xr6:coauthVersionLast="47" xr6:coauthVersionMax="47" xr10:uidLastSave="{00000000-0000-0000-0000-000000000000}"/>
  <bookViews>
    <workbookView xWindow="0" yWindow="465" windowWidth="28800" windowHeight="15600" xr2:uid="{55A2AD3E-4C3B-496D-8E54-264BEB8DACBE}"/>
  </bookViews>
  <sheets>
    <sheet name="Odvodnění komunikace" sheetId="1" r:id="rId1"/>
  </sheets>
  <definedNames>
    <definedName name="_xlnm._FilterDatabase" localSheetId="0" hidden="1">'Odvodnění komunikace'!$A$1:$P$170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L40" i="1" l="1"/>
  <c r="L147" i="1"/>
  <c r="L65" i="1" l="1"/>
  <c r="L63" i="1"/>
  <c r="L61" i="1"/>
  <c r="L89" i="1" l="1"/>
  <c r="M88" i="1" s="1"/>
  <c r="L85" i="1"/>
  <c r="N16" i="1" l="1"/>
  <c r="L93" i="1"/>
  <c r="L87" i="1"/>
  <c r="L80" i="1"/>
  <c r="L46" i="1"/>
  <c r="L32" i="1"/>
  <c r="L20" i="1"/>
  <c r="L34" i="1"/>
  <c r="M34" i="1" s="1"/>
  <c r="L35" i="1"/>
  <c r="M37" i="1"/>
  <c r="L36" i="1"/>
  <c r="L17" i="1"/>
  <c r="M146" i="1" l="1"/>
  <c r="I145" i="1"/>
  <c r="I146" i="1"/>
  <c r="P146" i="1" l="1"/>
  <c r="N146" i="1"/>
  <c r="N143" i="1" s="1"/>
  <c r="M142" i="1"/>
  <c r="P145" i="1"/>
  <c r="N145" i="1"/>
  <c r="M145" i="1"/>
  <c r="P144" i="1"/>
  <c r="N144" i="1"/>
  <c r="M144" i="1"/>
  <c r="I144" i="1"/>
  <c r="L142" i="1"/>
  <c r="L78" i="1"/>
  <c r="L77" i="1"/>
  <c r="N72" i="1"/>
  <c r="M72" i="1"/>
  <c r="N49" i="1"/>
  <c r="M49" i="1"/>
  <c r="N47" i="1"/>
  <c r="M47" i="1"/>
  <c r="L91" i="1"/>
  <c r="M90" i="1" s="1"/>
  <c r="L90" i="1" s="1"/>
  <c r="N90" i="1" s="1"/>
  <c r="L140" i="1"/>
  <c r="M139" i="1" s="1"/>
  <c r="L139" i="1" s="1"/>
  <c r="N139" i="1" s="1"/>
  <c r="N136" i="1"/>
  <c r="M136" i="1"/>
  <c r="L135" i="1"/>
  <c r="M134" i="1" s="1"/>
  <c r="L134" i="1" s="1"/>
  <c r="N134" i="1" s="1"/>
  <c r="L133" i="1"/>
  <c r="M132" i="1" s="1"/>
  <c r="L132" i="1" s="1"/>
  <c r="N132" i="1" s="1"/>
  <c r="L130" i="1"/>
  <c r="M129" i="1" s="1"/>
  <c r="M131" i="1" s="1"/>
  <c r="L131" i="1" s="1"/>
  <c r="N131" i="1" s="1"/>
  <c r="L122" i="1"/>
  <c r="M121" i="1" s="1"/>
  <c r="L116" i="1"/>
  <c r="M115" i="1" s="1"/>
  <c r="L115" i="1" s="1"/>
  <c r="N115" i="1" s="1"/>
  <c r="M128" i="1"/>
  <c r="L128" i="1" s="1"/>
  <c r="N128" i="1" s="1"/>
  <c r="N126" i="1"/>
  <c r="M126" i="1"/>
  <c r="N124" i="1"/>
  <c r="M124" i="1"/>
  <c r="N120" i="1"/>
  <c r="M120" i="1"/>
  <c r="N118" i="1"/>
  <c r="M118" i="1"/>
  <c r="L117" i="1"/>
  <c r="P117" i="1" s="1"/>
  <c r="N114" i="1"/>
  <c r="M114" i="1"/>
  <c r="N113" i="1"/>
  <c r="M113" i="1"/>
  <c r="N111" i="1"/>
  <c r="M111" i="1"/>
  <c r="N110" i="1"/>
  <c r="M110" i="1"/>
  <c r="N108" i="1"/>
  <c r="M108" i="1"/>
  <c r="N107" i="1"/>
  <c r="M107" i="1"/>
  <c r="N106" i="1"/>
  <c r="M106" i="1"/>
  <c r="N104" i="1"/>
  <c r="M104" i="1"/>
  <c r="L103" i="1"/>
  <c r="N103" i="1" s="1"/>
  <c r="M101" i="1"/>
  <c r="L101" i="1" s="1"/>
  <c r="P101" i="1" s="1"/>
  <c r="L100" i="1"/>
  <c r="N100" i="1" s="1"/>
  <c r="M98" i="1"/>
  <c r="L98" i="1" s="1"/>
  <c r="N98" i="1" s="1"/>
  <c r="N97" i="1"/>
  <c r="M97" i="1"/>
  <c r="N95" i="1"/>
  <c r="M95" i="1"/>
  <c r="L94" i="1"/>
  <c r="N94" i="1" s="1"/>
  <c r="L88" i="1"/>
  <c r="N88" i="1" s="1"/>
  <c r="M84" i="1"/>
  <c r="L84" i="1" s="1"/>
  <c r="N84" i="1" s="1"/>
  <c r="L82" i="1"/>
  <c r="M81" i="1" s="1"/>
  <c r="L81" i="1" s="1"/>
  <c r="N81" i="1" s="1"/>
  <c r="N65" i="1"/>
  <c r="N63" i="1"/>
  <c r="N61" i="1"/>
  <c r="N59" i="1"/>
  <c r="N57" i="1"/>
  <c r="M57" i="1"/>
  <c r="N55" i="1"/>
  <c r="M55" i="1"/>
  <c r="N53" i="1"/>
  <c r="M53" i="1"/>
  <c r="N51" i="1"/>
  <c r="M51" i="1"/>
  <c r="L71" i="1"/>
  <c r="M70" i="1" s="1"/>
  <c r="N70" i="1" s="1"/>
  <c r="L69" i="1"/>
  <c r="M68" i="1" s="1"/>
  <c r="N68" i="1" s="1"/>
  <c r="L44" i="1"/>
  <c r="M43" i="1" s="1"/>
  <c r="L43" i="1" s="1"/>
  <c r="N43" i="1" s="1"/>
  <c r="N21" i="1"/>
  <c r="M21" i="1"/>
  <c r="L30" i="1"/>
  <c r="M29" i="1" s="1"/>
  <c r="M33" i="1" s="1"/>
  <c r="M16" i="1"/>
  <c r="M14" i="1"/>
  <c r="L38" i="1" l="1"/>
  <c r="M39" i="1" s="1"/>
  <c r="L39" i="1" s="1"/>
  <c r="L16" i="1"/>
  <c r="P34" i="1" s="1"/>
  <c r="N117" i="1"/>
  <c r="M75" i="1"/>
  <c r="L75" i="1" s="1"/>
  <c r="N75" i="1" s="1"/>
  <c r="N74" i="1" s="1"/>
  <c r="P84" i="1"/>
  <c r="P128" i="1"/>
  <c r="P68" i="1"/>
  <c r="P98" i="1"/>
  <c r="P115" i="1"/>
  <c r="P134" i="1"/>
  <c r="P70" i="1"/>
  <c r="P88" i="1"/>
  <c r="P100" i="1"/>
  <c r="P139" i="1"/>
  <c r="P90" i="1"/>
  <c r="P131" i="1"/>
  <c r="P43" i="1"/>
  <c r="P81" i="1"/>
  <c r="P94" i="1"/>
  <c r="P103" i="1"/>
  <c r="P132" i="1"/>
  <c r="N67" i="1"/>
  <c r="L29" i="1"/>
  <c r="L33" i="1" s="1"/>
  <c r="N34" i="1"/>
  <c r="P36" i="1"/>
  <c r="L129" i="1"/>
  <c r="L121" i="1"/>
  <c r="M123" i="1"/>
  <c r="L123" i="1" s="1"/>
  <c r="P16" i="1" l="1"/>
  <c r="P75" i="1"/>
  <c r="L42" i="1"/>
  <c r="M41" i="1" s="1"/>
  <c r="L41" i="1" s="1"/>
  <c r="N41" i="1" s="1"/>
  <c r="N33" i="1"/>
  <c r="P33" i="1"/>
  <c r="N129" i="1"/>
  <c r="P129" i="1"/>
  <c r="N121" i="1"/>
  <c r="P121" i="1"/>
  <c r="N29" i="1"/>
  <c r="P29" i="1"/>
  <c r="N123" i="1"/>
  <c r="P123" i="1"/>
  <c r="N36" i="1"/>
  <c r="M36" i="1"/>
  <c r="L37" i="1"/>
  <c r="N138" i="1"/>
  <c r="I142" i="1"/>
  <c r="I141" i="1" s="1"/>
  <c r="I139" i="1"/>
  <c r="I138" i="1" s="1"/>
  <c r="I136" i="1"/>
  <c r="I134" i="1"/>
  <c r="I132" i="1"/>
  <c r="I131" i="1"/>
  <c r="I129" i="1"/>
  <c r="I128" i="1"/>
  <c r="I126" i="1"/>
  <c r="I124" i="1"/>
  <c r="I123" i="1"/>
  <c r="I121" i="1"/>
  <c r="I120" i="1"/>
  <c r="I118" i="1"/>
  <c r="I117" i="1"/>
  <c r="I115" i="1"/>
  <c r="I114" i="1"/>
  <c r="I113" i="1"/>
  <c r="I111" i="1"/>
  <c r="I110" i="1"/>
  <c r="I108" i="1"/>
  <c r="I107" i="1"/>
  <c r="I106" i="1"/>
  <c r="I104" i="1"/>
  <c r="I103" i="1"/>
  <c r="I101" i="1"/>
  <c r="I100" i="1"/>
  <c r="I98" i="1"/>
  <c r="I97" i="1"/>
  <c r="I95" i="1"/>
  <c r="I94" i="1"/>
  <c r="I90" i="1"/>
  <c r="I88" i="1"/>
  <c r="I84" i="1"/>
  <c r="I81" i="1"/>
  <c r="I75" i="1"/>
  <c r="I72" i="1"/>
  <c r="I70" i="1"/>
  <c r="I68" i="1"/>
  <c r="I65" i="1"/>
  <c r="I63" i="1"/>
  <c r="I61" i="1"/>
  <c r="I59" i="1"/>
  <c r="I57" i="1"/>
  <c r="I55" i="1"/>
  <c r="I53" i="1"/>
  <c r="I51" i="1"/>
  <c r="I49" i="1"/>
  <c r="I47" i="1"/>
  <c r="I43" i="1"/>
  <c r="I41" i="1"/>
  <c r="I39" i="1"/>
  <c r="I37" i="1"/>
  <c r="I36" i="1"/>
  <c r="I34" i="1"/>
  <c r="I33" i="1"/>
  <c r="I29" i="1"/>
  <c r="I21" i="1"/>
  <c r="I16" i="1"/>
  <c r="I14" i="1"/>
  <c r="P41" i="1" l="1"/>
  <c r="I83" i="1"/>
  <c r="N39" i="1"/>
  <c r="P39" i="1"/>
  <c r="I67" i="1"/>
  <c r="N37" i="1"/>
  <c r="P37" i="1"/>
  <c r="I74" i="1"/>
  <c r="I13" i="1"/>
  <c r="I12" i="1" l="1"/>
  <c r="I11" i="1" s="1"/>
  <c r="N14" i="1"/>
  <c r="N13" i="1" s="1"/>
  <c r="N101" i="1"/>
  <c r="N83" i="1" s="1"/>
  <c r="N142" i="1"/>
  <c r="N141" i="1" s="1"/>
  <c r="P142" i="1"/>
  <c r="N12" i="1" l="1"/>
  <c r="N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pc2020</author>
  </authors>
  <commentList>
    <comment ref="B39" authorId="0" shapeId="0" xr:uid="{D1058065-5C60-4A98-B9F0-657C89052B42}">
      <text>
        <r>
          <rPr>
            <b/>
            <sz val="9"/>
            <color indexed="81"/>
            <rFont val="Tahoma"/>
            <family val="2"/>
            <charset val="238"/>
          </rPr>
          <t>pc2020:</t>
        </r>
        <r>
          <rPr>
            <sz val="9"/>
            <color indexed="81"/>
            <rFont val="Tahoma"/>
            <family val="2"/>
            <charset val="238"/>
          </rPr>
          <t xml:space="preserve">
úprava vzorce dle VP podle výpočtu pana Kubáta</t>
        </r>
      </text>
    </comment>
  </commentList>
</comments>
</file>

<file path=xl/sharedStrings.xml><?xml version="1.0" encoding="utf-8"?>
<sst xmlns="http://schemas.openxmlformats.org/spreadsheetml/2006/main" count="603" uniqueCount="319">
  <si>
    <t>jámanez</t>
  </si>
  <si>
    <t/>
  </si>
  <si>
    <t>2</t>
  </si>
  <si>
    <t>jámy</t>
  </si>
  <si>
    <t>L150</t>
  </si>
  <si>
    <t>odvoz</t>
  </si>
  <si>
    <t>Stavba:</t>
  </si>
  <si>
    <t>rýhy</t>
  </si>
  <si>
    <t>Komunikace a chodník ul. Křižíkova - K Lávce, parkoviště u přístaviště</t>
  </si>
  <si>
    <t>zásyp</t>
  </si>
  <si>
    <t>Objekt:</t>
  </si>
  <si>
    <t>zeleň</t>
  </si>
  <si>
    <t>SO 301 - Odvodnění komunikace</t>
  </si>
  <si>
    <t>Místo:</t>
  </si>
  <si>
    <t>Čelákovice</t>
  </si>
  <si>
    <t>Datum:</t>
  </si>
  <si>
    <t>14. 3. 2022</t>
  </si>
  <si>
    <t>Zadavatel:</t>
  </si>
  <si>
    <t>Město Čelákovice</t>
  </si>
  <si>
    <t>Uchazeč:</t>
  </si>
  <si>
    <t>SKL RECYKLOSTAV s.r.o.</t>
  </si>
  <si>
    <t>Projektant:</t>
  </si>
  <si>
    <t>VDI Projekt s.r.o.</t>
  </si>
  <si>
    <t>Zpracovatel:</t>
  </si>
  <si>
    <t>Ing. Jan Duben</t>
  </si>
  <si>
    <t>Cena celkem [CZK]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</si>
  <si>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</si>
  <si>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</si>
  <si>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</si>
  <si>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</si>
  <si>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</si>
  <si>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</si>
  <si>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</si>
  <si>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</si>
  <si>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</si>
  <si>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Náklady soupisu celkem</t>
  </si>
  <si>
    <t>D</t>
  </si>
  <si>
    <t>HSV</t>
  </si>
  <si>
    <t>Práce a dodávky HSV</t>
  </si>
  <si>
    <t>1</t>
  </si>
  <si>
    <t>Zemní práce</t>
  </si>
  <si>
    <t>K</t>
  </si>
  <si>
    <t>131251102</t>
  </si>
  <si>
    <t>Hloubení jam nezapažených v hornině třídy těžitelnosti I, skupiny 3 objem do 50 m3 strojně</t>
  </si>
  <si>
    <t>m3</t>
  </si>
  <si>
    <t>4</t>
  </si>
  <si>
    <t>VV</t>
  </si>
  <si>
    <t>"vsakovací zařízení VZ1" 200*0,9+(24,5+5+24+11,5+12,5)*2,7</t>
  </si>
  <si>
    <t>131251204</t>
  </si>
  <si>
    <t>Hloubení jam zapažených v hornině třídy těžitelnosti I, skupiny 3 objem do 500 m3 strojně</t>
  </si>
  <si>
    <t>"vsakovací zařízení VZ2" 25,2*1,6*2,1</t>
  </si>
  <si>
    <t>"šachty" 1,4*1,4*(2,83-0,15)*2</t>
  </si>
  <si>
    <t>Součet</t>
  </si>
  <si>
    <t>3</t>
  </si>
  <si>
    <t>132251252</t>
  </si>
  <si>
    <t>Hloubení rýh nezapažených š do 2000 mm v hornině třídy těžitelnosti I, skupiny 3 objem do 50 m3 strojně</t>
  </si>
  <si>
    <t>Hloubení rýh pod odkopávkami pro konstrukční vrstvy komunikací a sanaci aktivní zóny</t>
  </si>
  <si>
    <t>"DP1 a DP2" (4,5+0,6*2)*1,1*(0,78-0,55)</t>
  </si>
  <si>
    <t>"DP3" (10,5+0,6)*1,1*(1,15-0,67)</t>
  </si>
  <si>
    <t>"DP4" (6,5+0,6)*1,1*(1,15-0,67)</t>
  </si>
  <si>
    <t>"DP5" (6,5+0,6)*1,1*(1,15-0,67)</t>
  </si>
  <si>
    <t>"DP6" (10,7+0,6)*1,1*(1,15-0,67)</t>
  </si>
  <si>
    <t>151101201</t>
  </si>
  <si>
    <t>Zřízení příložného pažení stěn výkopu hl do 4 m</t>
  </si>
  <si>
    <t>m2</t>
  </si>
  <si>
    <t>"vsakovací zařízení VZ2" (25,2*2+1,6*2)*2,1</t>
  </si>
  <si>
    <t>"šachty" 1,4*4*(2,83-0,15)*2</t>
  </si>
  <si>
    <t>5</t>
  </si>
  <si>
    <t>151101211</t>
  </si>
  <si>
    <t>Odstranění příložného pažení stěn hl do 4 m</t>
  </si>
  <si>
    <t>6</t>
  </si>
  <si>
    <t>151101301</t>
  </si>
  <si>
    <t>Zřízení rozepření stěn při pažení příložném hl do 4 m</t>
  </si>
  <si>
    <t>7</t>
  </si>
  <si>
    <t>151101311</t>
  </si>
  <si>
    <t>Odstranění rozepření stěn při pažení příložném hl do 4 m</t>
  </si>
  <si>
    <t>8</t>
  </si>
  <si>
    <t>162751117</t>
  </si>
  <si>
    <t>Vodorovné přemístění do 10000 m výkopku/sypaniny z horniny třídy těžitelnosti I, skupiny 1 až 3</t>
  </si>
  <si>
    <t>jámy+jámanez+rýhy-zásyp</t>
  </si>
  <si>
    <t>9</t>
  </si>
  <si>
    <t>171201221</t>
  </si>
  <si>
    <t>Poplatek za uložení na skládce (skládkovné) zeminy a kamení kód odpadu 17 05 04</t>
  </si>
  <si>
    <t>t</t>
  </si>
  <si>
    <t>odvoz*1,85</t>
  </si>
  <si>
    <t>10</t>
  </si>
  <si>
    <t>171251201</t>
  </si>
  <si>
    <t>Uložení sypaniny na skládky nebo meziskládky</t>
  </si>
  <si>
    <t>11</t>
  </si>
  <si>
    <t>174151101</t>
  </si>
  <si>
    <t>Zásyp jam, šachet rýh nebo kolem objektů sypaninou se zhutněním</t>
  </si>
  <si>
    <t>"vsakovací zařízení VZ2" 25,2*1,6*2,1-24*1,2*(0,15+0,3+0,52+0,3)-0,6*1,27*1,2*2</t>
  </si>
  <si>
    <t>"šachty" 1,4*1,4*(2,83-0,15)*2-3,14*0,65*0,65*(2,83-0,15)*2</t>
  </si>
  <si>
    <t>12</t>
  </si>
  <si>
    <t>175151101</t>
  </si>
  <si>
    <t>Obsypání potrubí strojně sypaninou bez prohození, uloženou do 3 m</t>
  </si>
  <si>
    <t>L150*1,1*(0,15+0,3)-3,14*0,075*0,075*L150</t>
  </si>
  <si>
    <t>13</t>
  </si>
  <si>
    <t>M</t>
  </si>
  <si>
    <t>58337331</t>
  </si>
  <si>
    <t>štěrkopísek frakce 0/22</t>
  </si>
  <si>
    <t>22,244*2 'Přepočtené koeficientem množství</t>
  </si>
  <si>
    <t>14</t>
  </si>
  <si>
    <t>181351113</t>
  </si>
  <si>
    <t>Rozprostření ornice tl vrstvy do 200 mm pl přes 500 m2 v rovině nebo ve svahu do 1:5 strojně</t>
  </si>
  <si>
    <t>"vsakovací zařízení VZ1" 200+(24,5+5+24+11,5+12,5)*4,1</t>
  </si>
  <si>
    <t>15</t>
  </si>
  <si>
    <t>10364101</t>
  </si>
  <si>
    <t>zemina pro terénní úpravy -  ornice</t>
  </si>
  <si>
    <t>"vsakovací zařízení VZ1" zeleň*0,15*1,85</t>
  </si>
  <si>
    <t>16</t>
  </si>
  <si>
    <t>181451131</t>
  </si>
  <si>
    <t>Založení parkového trávníku výsevem plochy přes 1000 m2 v rovině a ve svahu do 1:5</t>
  </si>
  <si>
    <t>"vsakovací zařízení VZ1" zeleň</t>
  </si>
  <si>
    <t>17</t>
  </si>
  <si>
    <t>00572410</t>
  </si>
  <si>
    <t>osivo směs travní parková</t>
  </si>
  <si>
    <t>kg</t>
  </si>
  <si>
    <t>"vsakovací zařízení VZ1" zeleň*30*0,001</t>
  </si>
  <si>
    <t>18</t>
  </si>
  <si>
    <t>184802111</t>
  </si>
  <si>
    <t>Chemické odplevelení před založením kultury nad 20 m2 postřikem na široko v rovině a svahu do 1:5</t>
  </si>
  <si>
    <t>19</t>
  </si>
  <si>
    <t>185804312</t>
  </si>
  <si>
    <t>Zalití rostlin vodou plocha přes 20 m2</t>
  </si>
  <si>
    <t>"vsakovací zařízení VZ1" zeleň*0,005</t>
  </si>
  <si>
    <t>20</t>
  </si>
  <si>
    <t>185851121</t>
  </si>
  <si>
    <t>Dovoz vody pro zálivku rostlin za vzdálenost do 1000 m</t>
  </si>
  <si>
    <t>21</t>
  </si>
  <si>
    <t>185851129</t>
  </si>
  <si>
    <t>Příplatek k dovozu vody pro zálivku rostlin do 1000 m ZKD 1000 m</t>
  </si>
  <si>
    <t>"vsakovací zařízení VZ1" zeleň*0,005*5</t>
  </si>
  <si>
    <t>Zakládání</t>
  </si>
  <si>
    <t>22</t>
  </si>
  <si>
    <t>211561111</t>
  </si>
  <si>
    <t>Výplň odvodňovacích žeber nebo trativodů kamenivem hrubým drceným frakce 4 až 16 mm</t>
  </si>
  <si>
    <t>"vsakovací zařízení VZ2" (24*1,2*0,3-24*2*3,14*0,075*0,075)*2</t>
  </si>
  <si>
    <t>23</t>
  </si>
  <si>
    <t>212752601</t>
  </si>
  <si>
    <t>Trativod z drenážních trubek korugovaných PP SN 16 perforace 360° včetně lože otevřený výkop DN 150 pro liniové stavby</t>
  </si>
  <si>
    <t>m</t>
  </si>
  <si>
    <t>"vsakovací zařízení VZ2" 24*4</t>
  </si>
  <si>
    <t>24</t>
  </si>
  <si>
    <t>212755214</t>
  </si>
  <si>
    <t>Trativody z drenážních trubek plastových flexibilních D 100 mm bez lože</t>
  </si>
  <si>
    <t>Vodorovné konstrukce</t>
  </si>
  <si>
    <t>25</t>
  </si>
  <si>
    <t>451572111</t>
  </si>
  <si>
    <t>Lože pod potrubí otevřený výkop z kameniva drobného těženého</t>
  </si>
  <si>
    <t>"podsyp šachet" 2*1,4*1,4*0,1</t>
  </si>
  <si>
    <t>"podsyp uličních vpustí" 6*0,6*0,6*0,1</t>
  </si>
  <si>
    <t>"lože pod vsakovací zařízení VZ2" 24,3*1,6*0,15</t>
  </si>
  <si>
    <t>"lože pro potrubí" L150*1,1*(0,1+0,15*0,1)</t>
  </si>
  <si>
    <t>26</t>
  </si>
  <si>
    <t>452311141</t>
  </si>
  <si>
    <t>Podkladní desky z betonu prostého tř. C 16/20 otevřený výkop</t>
  </si>
  <si>
    <t>"podklad uličních vpustí" 6*0,6*0,6*0,15</t>
  </si>
  <si>
    <t>Trubní vedení</t>
  </si>
  <si>
    <t>27</t>
  </si>
  <si>
    <t>871350420</t>
  </si>
  <si>
    <t>Montáž kanalizačního potrubí korugovaného SN 12 z polypropylenu do DN 200</t>
  </si>
  <si>
    <t>"napojení uličních vpustí - dle D.1.3.4.5" 5,5+1,3+10,5+6,5+6,5+10,7</t>
  </si>
  <si>
    <t>"napojení VZ na šachty - dle D.1.3.4.3" 0,7*4*2</t>
  </si>
  <si>
    <t>28</t>
  </si>
  <si>
    <t>28614097</t>
  </si>
  <si>
    <t>trubka kanalizační žebrovaná PP DN 150x6000mm</t>
  </si>
  <si>
    <t>46,6*1,015 'Přepočtené koeficientem množství</t>
  </si>
  <si>
    <t>29</t>
  </si>
  <si>
    <t>877310410</t>
  </si>
  <si>
    <t>Montáž kolen na kanalizačním potrubí z PP trub korugovaných DN 150</t>
  </si>
  <si>
    <t>kus</t>
  </si>
  <si>
    <t>"napojení uličních vpustí - dle D.1.3.4.5" 7</t>
  </si>
  <si>
    <t>"napojení VZ na šachty - dle D.1.3.4.3" 2*2*2</t>
  </si>
  <si>
    <t>30</t>
  </si>
  <si>
    <t>28617338</t>
  </si>
  <si>
    <t>koleno kanalizace PP KG DN 160x45°</t>
  </si>
  <si>
    <t>31</t>
  </si>
  <si>
    <t>877310420</t>
  </si>
  <si>
    <t>Montáž odboček na kanalizačním potrubí z PP trub korugovaných DN 150</t>
  </si>
  <si>
    <t>"napojení uličních vpustí - dle D.1.3.4.5" 1</t>
  </si>
  <si>
    <t>32</t>
  </si>
  <si>
    <t>28617380</t>
  </si>
  <si>
    <t>odbočka kanalizace PP korugované 45° DN 160/160</t>
  </si>
  <si>
    <t>33</t>
  </si>
  <si>
    <t>877310430</t>
  </si>
  <si>
    <t>Montáž spojek na kanalizačním potrubí z PP trub korugovaných DN 150</t>
  </si>
  <si>
    <t>"přechodky pro napojení korugovaného potrubí ve VZ" 4*2</t>
  </si>
  <si>
    <t>34</t>
  </si>
  <si>
    <t>28617235</t>
  </si>
  <si>
    <t>spojka přesuvná kanalizační PP DN 150</t>
  </si>
  <si>
    <t>35</t>
  </si>
  <si>
    <t>877310440</t>
  </si>
  <si>
    <t>Montáž šachtových vložek na kanalizačním potrubí z PP trub korugovaných DN 150</t>
  </si>
  <si>
    <t>"dle tabulky šachet D.1.3.4.6" 4+2+4+2</t>
  </si>
  <si>
    <t>36</t>
  </si>
  <si>
    <t>28612250</t>
  </si>
  <si>
    <t>vložka šachtová kanalizační DN 160</t>
  </si>
  <si>
    <t>37</t>
  </si>
  <si>
    <t>894411311</t>
  </si>
  <si>
    <t>Osazení betonových nebo železobetonových dílců pro šachty skruží rovných</t>
  </si>
  <si>
    <t>"dle tabulky šachet D.1.3.4.6" 2+2</t>
  </si>
  <si>
    <t>38</t>
  </si>
  <si>
    <t>59224162</t>
  </si>
  <si>
    <t>skruž kanalizační s ocelovými stupadly 100x100x12cm</t>
  </si>
  <si>
    <t>60</t>
  </si>
  <si>
    <t>59224161</t>
  </si>
  <si>
    <t>skruž kanalizační s ocelovými stupadly 100x50x12cm</t>
  </si>
  <si>
    <t>39</t>
  </si>
  <si>
    <t>894412411</t>
  </si>
  <si>
    <t>Osazení betonových nebo železobetonových dílců pro šachty skruží přechodových</t>
  </si>
  <si>
    <t>"dle tabulky šachet D.1.3.4.6" 2</t>
  </si>
  <si>
    <t>40</t>
  </si>
  <si>
    <t>59224167</t>
  </si>
  <si>
    <t>skruž betonová přechodová 62,5/100x60x12cm, stupadla poplastovaná</t>
  </si>
  <si>
    <t>41</t>
  </si>
  <si>
    <t>894414111</t>
  </si>
  <si>
    <t>Osazení betonových nebo železobetonových dílců pro šachty skruží základových (dno)</t>
  </si>
  <si>
    <t>42</t>
  </si>
  <si>
    <t>5922433R</t>
  </si>
  <si>
    <t>dno betonové šachty kanalizační TBZ-Q200-650</t>
  </si>
  <si>
    <t>43</t>
  </si>
  <si>
    <t>59224348</t>
  </si>
  <si>
    <t>těsnění elastomerové pro spojení šachetních dílů DN 1000</t>
  </si>
  <si>
    <t>44</t>
  </si>
  <si>
    <t>895941301</t>
  </si>
  <si>
    <t>Osazení vpusti uliční DN 450 z betonových dílců dno s výtokem</t>
  </si>
  <si>
    <t>"uliční vpusti - dle D.1.3.4.5" 6</t>
  </si>
  <si>
    <t>45</t>
  </si>
  <si>
    <t>59223850</t>
  </si>
  <si>
    <t>dno pro uliční vpusť s výtokovým otvorem betonové 450x330x50mm</t>
  </si>
  <si>
    <t>46</t>
  </si>
  <si>
    <t>895941312</t>
  </si>
  <si>
    <t>Osazení vpusti uliční DN 450 z betonových dílců skruž horní 195 mm</t>
  </si>
  <si>
    <t>"uliční vpusti - dle D.1.3.4.5" 2</t>
  </si>
  <si>
    <t>47</t>
  </si>
  <si>
    <t>59223860</t>
  </si>
  <si>
    <t>skruž pro uliční vpusť středová betonová 450x195x50mm</t>
  </si>
  <si>
    <t>48</t>
  </si>
  <si>
    <t>895941314</t>
  </si>
  <si>
    <t>Osazení vpusti uliční DN 450 z betonových dílců skruž horní 570 mm</t>
  </si>
  <si>
    <t>"uliční vpusti - dle D.1.3.4.5" 4</t>
  </si>
  <si>
    <t>49</t>
  </si>
  <si>
    <t>59223858</t>
  </si>
  <si>
    <t>skruž pro uliční vpusť horní betonová 450x570x50mm</t>
  </si>
  <si>
    <t>50</t>
  </si>
  <si>
    <t>897171112</t>
  </si>
  <si>
    <t>Akumulační boxy z PP pro vsakování dešťových vod zatížené osobními automobily objemu přes 10 do 30 m3</t>
  </si>
  <si>
    <t>"vsakovací zařízení VZ2" 24*1,2*0,52</t>
  </si>
  <si>
    <t>51</t>
  </si>
  <si>
    <t>899104112</t>
  </si>
  <si>
    <t>Osazení poklopů litinových nebo ocelových včetně rámů pro třídu zatížení D400, E600</t>
  </si>
  <si>
    <t>52</t>
  </si>
  <si>
    <t>28661935</t>
  </si>
  <si>
    <t>poklop šachtový litinový  DN 600 pro třídu zatížení D400</t>
  </si>
  <si>
    <t>53</t>
  </si>
  <si>
    <t>899204112</t>
  </si>
  <si>
    <t>Osazení mříží litinových včetně rámů a košů na bahno pro třídu zatížení D400, E600</t>
  </si>
  <si>
    <t>54</t>
  </si>
  <si>
    <t>55242320</t>
  </si>
  <si>
    <t>mříž vtoková litinová plochá 500x500mm</t>
  </si>
  <si>
    <t>55</t>
  </si>
  <si>
    <t>59223864</t>
  </si>
  <si>
    <t>prstenec pro uliční vpusť vyrovnávací betonový 390x60x130mm</t>
  </si>
  <si>
    <t>56</t>
  </si>
  <si>
    <t>59223875</t>
  </si>
  <si>
    <t>koš nízký pro uliční vpusti žárově Pz plech pro rám 500/500mm</t>
  </si>
  <si>
    <t>57</t>
  </si>
  <si>
    <t>59223871</t>
  </si>
  <si>
    <t>koš vysoký pro uliční vpusti žárově Pz plech pro rám 500/500mm</t>
  </si>
  <si>
    <t>Ostatní konstrukce a práce, bourání</t>
  </si>
  <si>
    <t>58</t>
  </si>
  <si>
    <t>919726122</t>
  </si>
  <si>
    <t>Geotextilie pro ochranu, separaci a filtraci netkaná měrná hmotnost do 300 g/m2</t>
  </si>
  <si>
    <t>"vsakovací zařízení VZ2" 24*1,2*2+(24*2+1,2*2)*1,12+1,2*0,6*2*2</t>
  </si>
  <si>
    <t>998</t>
  </si>
  <si>
    <t>Přesun hmot</t>
  </si>
  <si>
    <t>59</t>
  </si>
  <si>
    <t>998276101</t>
  </si>
  <si>
    <t>Přesun hmot pro trubní vedení z trub z plastických hmot otevřený výkop</t>
  </si>
  <si>
    <t>Množství v dodatcích</t>
  </si>
  <si>
    <t>Množství celkem</t>
  </si>
  <si>
    <t>Náklad v dodatcích</t>
  </si>
  <si>
    <r>
      <t>vsakovací zařízení VZ2" (</t>
    </r>
    <r>
      <rPr>
        <sz val="8"/>
        <color rgb="FFFF0000"/>
        <rFont val="Arial CE"/>
        <family val="2"/>
        <charset val="238"/>
      </rPr>
      <t>35,2</t>
    </r>
    <r>
      <rPr>
        <sz val="8"/>
        <color rgb="FF505050"/>
        <rFont val="Arial CE"/>
        <family val="2"/>
        <charset val="238"/>
      </rPr>
      <t>*2+1,6*2)*2,1</t>
    </r>
  </si>
  <si>
    <r>
      <t xml:space="preserve">vsakovací zařízení VZ2" </t>
    </r>
    <r>
      <rPr>
        <sz val="8"/>
        <color rgb="FFFF0000"/>
        <rFont val="Arial CE"/>
        <family val="2"/>
        <charset val="238"/>
      </rPr>
      <t>35,2</t>
    </r>
    <r>
      <rPr>
        <sz val="8"/>
        <color rgb="FF505050"/>
        <rFont val="Arial CE"/>
        <family val="2"/>
        <charset val="238"/>
      </rPr>
      <t>*1,6*2,1</t>
    </r>
  </si>
  <si>
    <r>
      <t xml:space="preserve">vsakovací zařízení VZ2" </t>
    </r>
    <r>
      <rPr>
        <sz val="8"/>
        <color rgb="FFFF0000"/>
        <rFont val="Arial CE"/>
        <family val="2"/>
        <charset val="238"/>
      </rPr>
      <t>35,2</t>
    </r>
    <r>
      <rPr>
        <sz val="8"/>
        <color rgb="FF505050"/>
        <rFont val="Arial CE"/>
        <family val="2"/>
        <charset val="238"/>
      </rPr>
      <t>*1,6*2,1-</t>
    </r>
    <r>
      <rPr>
        <sz val="8"/>
        <color rgb="FFFF0000"/>
        <rFont val="Arial CE"/>
        <family val="2"/>
        <charset val="238"/>
      </rPr>
      <t>34</t>
    </r>
    <r>
      <rPr>
        <sz val="8"/>
        <color rgb="FF505050"/>
        <rFont val="Arial CE"/>
        <family val="2"/>
        <charset val="238"/>
      </rPr>
      <t>*1,2*(0,15+0,3+0,52+0,3)-0,6*1,27*1,2*2</t>
    </r>
  </si>
  <si>
    <r>
      <t xml:space="preserve">vsakovací zařízení VZ2" </t>
    </r>
    <r>
      <rPr>
        <sz val="8"/>
        <color rgb="FFFF0000"/>
        <rFont val="Arial CE"/>
        <family val="2"/>
        <charset val="238"/>
      </rPr>
      <t>(34</t>
    </r>
    <r>
      <rPr>
        <sz val="8"/>
        <color rgb="FF505050"/>
        <rFont val="Arial CE"/>
        <family val="2"/>
        <charset val="238"/>
      </rPr>
      <t>*1,2*0,3-</t>
    </r>
    <r>
      <rPr>
        <sz val="8"/>
        <color rgb="FFFF0000"/>
        <rFont val="Arial CE"/>
        <family val="2"/>
        <charset val="238"/>
      </rPr>
      <t>34</t>
    </r>
    <r>
      <rPr>
        <sz val="8"/>
        <color rgb="FF505050"/>
        <rFont val="Arial CE"/>
        <family val="2"/>
        <charset val="238"/>
      </rPr>
      <t>*2*3,14*0,075*0,075)*2</t>
    </r>
  </si>
  <si>
    <r>
      <t xml:space="preserve">vsakovací zařízení VZ2" </t>
    </r>
    <r>
      <rPr>
        <sz val="8"/>
        <color rgb="FFFF0000"/>
        <rFont val="Arial CE"/>
        <family val="2"/>
        <charset val="238"/>
      </rPr>
      <t>34</t>
    </r>
    <r>
      <rPr>
        <sz val="8"/>
        <color rgb="FF505050"/>
        <rFont val="Arial CE"/>
        <family val="2"/>
        <charset val="238"/>
      </rPr>
      <t>*4</t>
    </r>
  </si>
  <si>
    <r>
      <t xml:space="preserve">podklad uličních vpustí" </t>
    </r>
    <r>
      <rPr>
        <sz val="8"/>
        <color rgb="FFFF0000"/>
        <rFont val="Arial CE"/>
        <family val="2"/>
        <charset val="238"/>
      </rPr>
      <t>8</t>
    </r>
    <r>
      <rPr>
        <sz val="8"/>
        <color rgb="FF505050"/>
        <rFont val="Arial CE"/>
        <family val="2"/>
        <charset val="238"/>
      </rPr>
      <t>*0,6*0,6*0,15</t>
    </r>
  </si>
  <si>
    <r>
      <t>přechodky pro napojení korugovaného potrubí ve VZ" 4*2</t>
    </r>
    <r>
      <rPr>
        <sz val="8"/>
        <color rgb="FFFF0000"/>
        <rFont val="Arial CE"/>
        <family val="2"/>
        <charset val="238"/>
      </rPr>
      <t>+2</t>
    </r>
  </si>
  <si>
    <r>
      <t>dle tabulky šachet D.1.3.4.6" 4+2+4+2</t>
    </r>
    <r>
      <rPr>
        <sz val="8"/>
        <color rgb="FFFF0000"/>
        <rFont val="Arial CE"/>
        <family val="2"/>
        <charset val="238"/>
      </rPr>
      <t>+2</t>
    </r>
  </si>
  <si>
    <r>
      <t>uliční vpusti - dle D.1.3.4.5" 6</t>
    </r>
    <r>
      <rPr>
        <sz val="8"/>
        <color rgb="FFFF0000"/>
        <rFont val="Arial CE"/>
        <family val="2"/>
        <charset val="238"/>
      </rPr>
      <t>+2</t>
    </r>
  </si>
  <si>
    <r>
      <t>uliční vpusti - dle D.1.3.4.5" 4</t>
    </r>
    <r>
      <rPr>
        <sz val="8"/>
        <color rgb="FFFF0000"/>
        <rFont val="Arial CE"/>
        <family val="2"/>
        <charset val="238"/>
      </rPr>
      <t>+2</t>
    </r>
  </si>
  <si>
    <r>
      <t>uliční vpusti - dle D.1.3.4.5" 2</t>
    </r>
    <r>
      <rPr>
        <sz val="8"/>
        <color rgb="FFFF0000"/>
        <rFont val="Arial CE"/>
        <family val="2"/>
        <charset val="238"/>
      </rPr>
      <t>+2</t>
    </r>
  </si>
  <si>
    <r>
      <t xml:space="preserve">vsakovací zařízení VZ2" </t>
    </r>
    <r>
      <rPr>
        <sz val="8"/>
        <color rgb="FFFF0000"/>
        <rFont val="Arial CE"/>
        <family val="2"/>
        <charset val="238"/>
      </rPr>
      <t>34</t>
    </r>
    <r>
      <rPr>
        <sz val="8"/>
        <color rgb="FF505050"/>
        <rFont val="Arial CE"/>
        <family val="2"/>
        <charset val="238"/>
      </rPr>
      <t>*1,2*2+(</t>
    </r>
    <r>
      <rPr>
        <sz val="8"/>
        <color rgb="FFFF0000"/>
        <rFont val="Arial CE"/>
        <family val="2"/>
        <charset val="238"/>
      </rPr>
      <t>34</t>
    </r>
    <r>
      <rPr>
        <sz val="8"/>
        <color rgb="FF505050"/>
        <rFont val="Arial CE"/>
        <family val="2"/>
        <charset val="238"/>
      </rPr>
      <t>*2+1,2*2)*1,12+1,2*0,6*2*2</t>
    </r>
  </si>
  <si>
    <r>
      <t>"napojení uličních vpustí - dle D.1.3.4.5" 7</t>
    </r>
    <r>
      <rPr>
        <sz val="8"/>
        <color rgb="FFFF0000"/>
        <rFont val="Arial CE"/>
        <family val="2"/>
        <charset val="238"/>
      </rPr>
      <t>+6</t>
    </r>
  </si>
  <si>
    <r>
      <t xml:space="preserve">podsyp uličních vpustí" </t>
    </r>
    <r>
      <rPr>
        <sz val="8"/>
        <color rgb="FFFF0000"/>
        <rFont val="Arial CE"/>
        <family val="2"/>
        <charset val="238"/>
      </rPr>
      <t>8</t>
    </r>
    <r>
      <rPr>
        <sz val="8"/>
        <color rgb="FF505050"/>
        <rFont val="Arial CE"/>
        <family val="2"/>
        <charset val="238"/>
      </rPr>
      <t>*0,6*0,6*0,1</t>
    </r>
  </si>
  <si>
    <r>
      <t xml:space="preserve">lože pod vsakovací zařízení VZ2" </t>
    </r>
    <r>
      <rPr>
        <sz val="8"/>
        <color rgb="FFFF0000"/>
        <rFont val="Arial CE"/>
        <family val="2"/>
        <charset val="238"/>
      </rPr>
      <t>34,3</t>
    </r>
    <r>
      <rPr>
        <sz val="8"/>
        <color rgb="FF505050"/>
        <rFont val="Arial CE"/>
        <family val="2"/>
        <charset val="238"/>
      </rPr>
      <t>*1,6*0,15</t>
    </r>
  </si>
  <si>
    <t>jednotková hmotnost</t>
  </si>
  <si>
    <t>Čerpání vody na dopravní výšku přes 25 do 50 m průměrný přítok do 500 l/min</t>
  </si>
  <si>
    <t>hod</t>
  </si>
  <si>
    <r>
      <t>m</t>
    </r>
    <r>
      <rPr>
        <vertAlign val="superscript"/>
        <sz val="11"/>
        <color rgb="FF000000"/>
        <rFont val="Segoe UI"/>
        <family val="2"/>
        <charset val="238"/>
      </rPr>
      <t>3</t>
    </r>
  </si>
  <si>
    <t>výměna podloží 46x4,5x0,7</t>
  </si>
  <si>
    <r>
      <t>jámy+jámanez+rýhy</t>
    </r>
    <r>
      <rPr>
        <sz val="8"/>
        <color theme="0" tint="-0.499984740745262"/>
        <rFont val="Arial CE"/>
        <family val="2"/>
        <charset val="238"/>
      </rPr>
      <t>-</t>
    </r>
    <r>
      <rPr>
        <sz val="8"/>
        <color rgb="FF505050"/>
        <rFont val="Arial CE"/>
        <family val="2"/>
        <charset val="238"/>
      </rPr>
      <t>zásyp</t>
    </r>
  </si>
  <si>
    <r>
      <t>Pohoz z hrubého drceného </t>
    </r>
    <r>
      <rPr>
        <sz val="9"/>
        <color rgb="FF000000"/>
        <rFont val="Arial CE"/>
        <family val="2"/>
        <charset val="238"/>
      </rPr>
      <t>kamenivo zrno 32 až 63 mm z terénu</t>
    </r>
  </si>
  <si>
    <t>celkoná hmotnost v dodatcích</t>
  </si>
  <si>
    <r>
      <t>Poplatek za uložení na skládce (skládkovné) stavebního odpadu ze směsí nebo oddělených frakcí betonu, cihel a keramických výrobků kód odpadu </t>
    </r>
    <r>
      <rPr>
        <sz val="9"/>
        <color rgb="FF000000"/>
        <rFont val="Arial CE"/>
        <family val="2"/>
        <charset val="238"/>
      </rPr>
      <t>17 01 07</t>
    </r>
  </si>
  <si>
    <r>
      <t xml:space="preserve">odvoz - </t>
    </r>
    <r>
      <rPr>
        <sz val="8"/>
        <color rgb="FFFF0000"/>
        <rFont val="Arial CE"/>
        <family val="2"/>
        <charset val="238"/>
      </rPr>
      <t>velká retenční nádrž</t>
    </r>
    <r>
      <rPr>
        <sz val="8"/>
        <color rgb="FF505050"/>
        <rFont val="Arial CE"/>
        <family val="2"/>
        <charset val="238"/>
      </rPr>
      <t>*1,85</t>
    </r>
  </si>
  <si>
    <t>odvoz (velká retenční nádrž)*1,85</t>
  </si>
  <si>
    <r>
      <t xml:space="preserve">Položky nad rámec rozpočtu </t>
    </r>
    <r>
      <rPr>
        <sz val="8"/>
        <color rgb="FF003366"/>
        <rFont val="Arial CE"/>
        <family val="2"/>
        <charset val="238"/>
      </rPr>
      <t>(cenová soustava ÚRS)</t>
    </r>
  </si>
  <si>
    <t>ok</t>
  </si>
  <si>
    <t>objem položka č. 2 - zpětný zásyp</t>
  </si>
  <si>
    <t>objem položka č. 8</t>
  </si>
  <si>
    <t>prodloužení VZ1</t>
  </si>
  <si>
    <t>97,3125=25%</t>
  </si>
  <si>
    <t>držíme vzorce</t>
  </si>
  <si>
    <t>Soupis méněprací/víceprací</t>
  </si>
  <si>
    <r>
      <t>napojení uličních vpustí - dle D.1.3.4.5 5,5+1,3+10,5+6,5+6,5+10,7</t>
    </r>
    <r>
      <rPr>
        <sz val="8"/>
        <color rgb="FFFF0000"/>
        <rFont val="Arial CE"/>
        <family val="2"/>
        <charset val="238"/>
      </rPr>
      <t>+6+6+40</t>
    </r>
  </si>
  <si>
    <r>
      <rPr>
        <sz val="8"/>
        <color rgb="FFFF0000"/>
        <rFont val="Arial CE"/>
        <family val="2"/>
        <charset val="238"/>
      </rPr>
      <t>98,6</t>
    </r>
    <r>
      <rPr>
        <sz val="8"/>
        <color rgb="FF505050"/>
        <rFont val="Arial CE"/>
        <family val="2"/>
        <charset val="238"/>
      </rPr>
      <t>*1,015 'Přepočtené koeficientem množství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</si>
</sst>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"/>
    <numFmt numFmtId="166" formatCode="0.00000"/>
  </numFmts>
  <fonts count="31" x14ac:knownFonts="1">
    <font>
      <sz val="11"/>
      <color theme="1"/>
      <name val="Aptos Narrow"/>
      <family val="2"/>
      <charset val="238"/>
      <scheme val="minor"/>
    </font>
    <font>
      <sz val="8"/>
      <name val="Arial CE"/>
      <family val="2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9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theme="0" tint="-0.499984740745262"/>
      <name val="Arial CE"/>
      <family val="2"/>
    </font>
    <font>
      <vertAlign val="superscript"/>
      <sz val="11"/>
      <color rgb="FF000000"/>
      <name val="Segoe UI"/>
      <family val="2"/>
      <charset val="238"/>
    </font>
    <font>
      <b/>
      <sz val="9"/>
      <name val="Arial CE"/>
      <family val="2"/>
      <charset val="238"/>
    </font>
    <font>
      <sz val="8"/>
      <color theme="0" tint="-0.499984740745262"/>
      <name val="Arial CE"/>
      <family val="2"/>
      <charset val="238"/>
    </font>
    <font>
      <sz val="9"/>
      <color rgb="FF000000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b/>
      <sz val="8"/>
      <color rgb="FF50505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rgb="FF003366"/>
      <name val="Arial CE"/>
      <family val="2"/>
      <charset val="238"/>
    </font>
    <font>
      <sz val="8"/>
      <color rgb="FFFF0000"/>
      <name val="Arial CE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2D2D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8" fillId="0" borderId="0" xfId="0" applyNumberFormat="1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vertical="center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4" fontId="7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65" fontId="15" fillId="0" borderId="5" xfId="0" applyNumberFormat="1" applyFont="1" applyBorder="1" applyAlignment="1">
      <alignment vertical="center"/>
    </xf>
    <xf numFmtId="4" fontId="15" fillId="2" borderId="5" xfId="0" applyNumberFormat="1" applyFont="1" applyFill="1" applyBorder="1" applyAlignment="1" applyProtection="1">
      <alignment vertical="center"/>
      <protection locked="0"/>
    </xf>
    <xf numFmtId="4" fontId="15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4" fontId="6" fillId="0" borderId="5" xfId="0" applyNumberFormat="1" applyFont="1" applyBorder="1"/>
    <xf numFmtId="0" fontId="10" fillId="0" borderId="5" xfId="0" applyFont="1" applyBorder="1"/>
    <xf numFmtId="4" fontId="8" fillId="0" borderId="5" xfId="0" applyNumberFormat="1" applyFont="1" applyBorder="1"/>
    <xf numFmtId="4" fontId="9" fillId="0" borderId="5" xfId="0" applyNumberFormat="1" applyFont="1" applyBorder="1"/>
    <xf numFmtId="0" fontId="1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4" fontId="1" fillId="0" borderId="0" xfId="0" applyNumberFormat="1" applyFont="1"/>
    <xf numFmtId="4" fontId="7" fillId="3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/>
    <xf numFmtId="165" fontId="7" fillId="3" borderId="3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/>
    <xf numFmtId="165" fontId="11" fillId="0" borderId="5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 wrapText="1"/>
    </xf>
    <xf numFmtId="165" fontId="10" fillId="0" borderId="0" xfId="0" applyNumberFormat="1" applyFont="1"/>
    <xf numFmtId="165" fontId="14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6" fillId="0" borderId="0" xfId="0" applyFont="1"/>
    <xf numFmtId="0" fontId="7" fillId="4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5" fontId="25" fillId="0" borderId="5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165" fontId="14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22" fillId="0" borderId="5" xfId="0" applyNumberFormat="1" applyFont="1" applyBorder="1" applyAlignment="1">
      <alignment vertical="center"/>
    </xf>
    <xf numFmtId="165" fontId="17" fillId="0" borderId="5" xfId="0" applyNumberFormat="1" applyFont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4" fontId="11" fillId="5" borderId="5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5" fontId="19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531A-2651-4908-B5AF-199FCBA7AF3C}">
  <sheetPr>
    <pageSetUpPr fitToPage="1"/>
  </sheetPr>
  <dimension ref="A1:W170"/>
  <sheetViews>
    <sheetView tabSelected="1" zoomScaleNormal="100" workbookViewId="0">
      <selection activeCell="N143" activeCellId="5" sqref="N143"/>
    </sheetView>
  </sheetViews>
  <sheetFormatPr defaultColWidth="9.140625" defaultRowHeight="11.25" x14ac:dyDescent="0.2"/>
  <cols>
    <col min="1" max="1" width="1" style="1" customWidth="1"/>
    <col min="2" max="2" width="3.5703125" style="1" customWidth="1"/>
    <col min="3" max="3" width="3.7109375" style="1" customWidth="1"/>
    <col min="4" max="4" width="10" style="1" bestFit="1" customWidth="1"/>
    <col min="5" max="5" width="47.85546875" style="1" customWidth="1"/>
    <col min="6" max="6" width="5.5703125" style="1" customWidth="1"/>
    <col min="7" max="7" width="9" style="1" customWidth="1"/>
    <col min="8" max="8" width="10.5703125" style="1" customWidth="1"/>
    <col min="9" max="9" width="14.42578125" style="1" customWidth="1"/>
    <col min="10" max="10" width="14.7109375" style="1" hidden="1" customWidth="1"/>
    <col min="11" max="11" width="4.85546875" style="71" customWidth="1"/>
    <col min="12" max="12" width="8.7109375" style="78" bestFit="1" customWidth="1"/>
    <col min="13" max="13" width="10.28515625" style="1" customWidth="1"/>
    <col min="14" max="14" width="23.140625" style="66" customWidth="1"/>
    <col min="15" max="15" width="0" style="89" hidden="1" customWidth="1"/>
    <col min="16" max="16" width="0" style="78" hidden="1" customWidth="1"/>
    <col min="17" max="23" width="0" style="1" hidden="1" customWidth="1"/>
    <col min="24" max="16384" width="9.140625" style="1"/>
  </cols>
  <sheetData>
    <row r="1" spans="1:17" s="5" customFormat="1" ht="24.95" customHeight="1" x14ac:dyDescent="0.25">
      <c r="A1" s="4"/>
      <c r="B1" s="2" t="s">
        <v>26</v>
      </c>
      <c r="K1" s="70"/>
      <c r="L1" s="77"/>
      <c r="N1" s="33"/>
      <c r="O1" s="87"/>
      <c r="P1" s="77"/>
    </row>
    <row r="2" spans="1:17" s="5" customFormat="1" ht="26.25" customHeight="1" x14ac:dyDescent="0.25">
      <c r="A2" s="4"/>
      <c r="B2" s="3" t="s">
        <v>6</v>
      </c>
      <c r="D2" s="116" t="s">
        <v>8</v>
      </c>
      <c r="E2" s="117"/>
      <c r="F2" s="117"/>
      <c r="G2" s="117"/>
      <c r="K2" s="70"/>
      <c r="L2" s="77"/>
      <c r="N2" s="33"/>
      <c r="P2" s="77"/>
    </row>
    <row r="3" spans="1:17" s="5" customFormat="1" ht="16.5" customHeight="1" x14ac:dyDescent="0.25">
      <c r="A3" s="4"/>
      <c r="B3" s="3" t="s">
        <v>10</v>
      </c>
      <c r="D3" s="118" t="s">
        <v>12</v>
      </c>
      <c r="E3" s="119"/>
      <c r="F3" s="119"/>
      <c r="G3" s="119"/>
      <c r="K3" s="70"/>
      <c r="L3" s="77"/>
      <c r="N3" s="33"/>
      <c r="P3" s="77"/>
    </row>
    <row r="4" spans="1:17" s="5" customFormat="1" ht="6.95" customHeight="1" x14ac:dyDescent="0.25">
      <c r="A4" s="4"/>
      <c r="K4" s="70"/>
      <c r="L4" s="77"/>
      <c r="N4" s="33"/>
      <c r="P4" s="77"/>
    </row>
    <row r="5" spans="1:17" s="5" customFormat="1" ht="12" customHeight="1" x14ac:dyDescent="0.25">
      <c r="A5" s="4"/>
      <c r="B5" s="3" t="s">
        <v>13</v>
      </c>
      <c r="E5" s="6" t="s">
        <v>14</v>
      </c>
      <c r="H5" s="3" t="s">
        <v>15</v>
      </c>
      <c r="I5" s="7" t="s">
        <v>16</v>
      </c>
      <c r="K5" s="70"/>
      <c r="L5" s="77"/>
      <c r="N5" s="33"/>
      <c r="P5" s="77"/>
    </row>
    <row r="6" spans="1:17" s="5" customFormat="1" ht="6.95" customHeight="1" x14ac:dyDescent="0.25">
      <c r="A6" s="4"/>
      <c r="K6" s="70"/>
      <c r="L6" s="77"/>
      <c r="N6" s="33"/>
      <c r="P6" s="77"/>
    </row>
    <row r="7" spans="1:17" s="5" customFormat="1" ht="23.25" customHeight="1" x14ac:dyDescent="0.25">
      <c r="A7" s="4"/>
      <c r="B7" s="3" t="s">
        <v>17</v>
      </c>
      <c r="E7" s="6" t="s">
        <v>18</v>
      </c>
      <c r="H7" s="3" t="s">
        <v>21</v>
      </c>
      <c r="I7" s="8" t="s">
        <v>22</v>
      </c>
      <c r="K7" s="70"/>
      <c r="L7" s="77"/>
      <c r="N7" s="33"/>
      <c r="P7" s="77"/>
    </row>
    <row r="8" spans="1:17" s="5" customFormat="1" ht="15.2" customHeight="1" x14ac:dyDescent="0.25">
      <c r="A8" s="4"/>
      <c r="B8" s="3" t="s">
        <v>19</v>
      </c>
      <c r="E8" s="6" t="s">
        <v>20</v>
      </c>
      <c r="H8" s="3" t="s">
        <v>23</v>
      </c>
      <c r="I8" s="8" t="s">
        <v>24</v>
      </c>
      <c r="K8" s="70"/>
      <c r="L8" s="122" t="s">
        <v>316</v>
      </c>
      <c r="M8" s="122"/>
      <c r="N8" s="122"/>
      <c r="P8" s="77"/>
    </row>
    <row r="9" spans="1:17" s="5" customFormat="1" ht="10.35" customHeight="1" x14ac:dyDescent="0.25">
      <c r="A9" s="4"/>
      <c r="K9" s="70"/>
      <c r="L9" s="77"/>
      <c r="N9" s="33"/>
      <c r="P9" s="77"/>
    </row>
    <row r="10" spans="1:17" s="14" customFormat="1" ht="29.25" customHeight="1" x14ac:dyDescent="0.25">
      <c r="A10" s="9"/>
      <c r="B10" s="10" t="s">
        <v>27</v>
      </c>
      <c r="C10" s="11" t="s">
        <v>28</v>
      </c>
      <c r="D10" s="11" t="s">
        <v>29</v>
      </c>
      <c r="E10" s="11" t="s">
        <v>30</v>
      </c>
      <c r="F10" s="11" t="s">
        <v>31</v>
      </c>
      <c r="G10" s="11" t="s">
        <v>32</v>
      </c>
      <c r="H10" s="11" t="s">
        <v>33</v>
      </c>
      <c r="I10" s="12" t="s">
        <v>25</v>
      </c>
      <c r="J10" s="13" t="s">
        <v>34</v>
      </c>
      <c r="K10" s="72"/>
      <c r="L10" s="79" t="s">
        <v>280</v>
      </c>
      <c r="M10" s="11" t="s">
        <v>281</v>
      </c>
      <c r="N10" s="67" t="s">
        <v>282</v>
      </c>
      <c r="O10" s="88" t="s">
        <v>298</v>
      </c>
      <c r="P10" s="82" t="s">
        <v>305</v>
      </c>
    </row>
    <row r="11" spans="1:17" s="5" customFormat="1" ht="22.9" customHeight="1" x14ac:dyDescent="0.25">
      <c r="A11" s="4"/>
      <c r="B11" s="15" t="s">
        <v>35</v>
      </c>
      <c r="I11" s="16">
        <f>I12</f>
        <v>767414.89999999991</v>
      </c>
      <c r="K11" s="70"/>
      <c r="L11" s="65"/>
      <c r="M11" s="32"/>
      <c r="N11" s="60">
        <f>N12</f>
        <v>755774.58</v>
      </c>
      <c r="P11" s="77"/>
    </row>
    <row r="12" spans="1:17" s="18" customFormat="1" ht="25.9" customHeight="1" x14ac:dyDescent="0.2">
      <c r="A12" s="17"/>
      <c r="C12" s="19" t="s">
        <v>36</v>
      </c>
      <c r="D12" s="20" t="s">
        <v>37</v>
      </c>
      <c r="E12" s="20" t="s">
        <v>38</v>
      </c>
      <c r="H12" s="21"/>
      <c r="I12" s="22">
        <f>I13+I67+I74+I83+I138+I141</f>
        <v>767414.89999999991</v>
      </c>
      <c r="K12" s="73"/>
      <c r="L12" s="80"/>
      <c r="M12" s="61"/>
      <c r="N12" s="62">
        <f>N13+N67+N74+N83+N138+N141+N143</f>
        <v>755774.58</v>
      </c>
      <c r="P12" s="83"/>
    </row>
    <row r="13" spans="1:17" s="18" customFormat="1" ht="22.9" customHeight="1" x14ac:dyDescent="0.2">
      <c r="A13" s="17"/>
      <c r="C13" s="19" t="s">
        <v>36</v>
      </c>
      <c r="D13" s="23" t="s">
        <v>39</v>
      </c>
      <c r="E13" s="23" t="s">
        <v>40</v>
      </c>
      <c r="H13" s="21"/>
      <c r="I13" s="24">
        <f>SUM(I14:I66)</f>
        <v>433509.33999999991</v>
      </c>
      <c r="K13" s="73"/>
      <c r="L13" s="80"/>
      <c r="M13" s="61"/>
      <c r="N13" s="63">
        <f>SUM(N14:N66)</f>
        <v>87410.989999999991</v>
      </c>
      <c r="P13" s="83"/>
    </row>
    <row r="14" spans="1:17" s="5" customFormat="1" ht="33" customHeight="1" x14ac:dyDescent="0.25">
      <c r="A14" s="4"/>
      <c r="B14" s="25" t="s">
        <v>39</v>
      </c>
      <c r="C14" s="25" t="s">
        <v>41</v>
      </c>
      <c r="D14" s="26" t="s">
        <v>42</v>
      </c>
      <c r="E14" s="27" t="s">
        <v>43</v>
      </c>
      <c r="F14" s="28" t="s">
        <v>44</v>
      </c>
      <c r="G14" s="29">
        <v>389.25</v>
      </c>
      <c r="H14" s="30">
        <v>195</v>
      </c>
      <c r="I14" s="31">
        <f>ROUND(H14*G14,2)</f>
        <v>75903.75</v>
      </c>
      <c r="J14" s="32"/>
      <c r="K14" s="70"/>
      <c r="L14" s="65">
        <v>0</v>
      </c>
      <c r="M14" s="65">
        <f>L14+G14</f>
        <v>389.25</v>
      </c>
      <c r="N14" s="68">
        <f>ROUND(L14*H14,2)</f>
        <v>0</v>
      </c>
      <c r="P14" s="77"/>
    </row>
    <row r="15" spans="1:17" s="35" customFormat="1" x14ac:dyDescent="0.25">
      <c r="A15" s="34"/>
      <c r="C15" s="36" t="s">
        <v>46</v>
      </c>
      <c r="D15" s="37" t="s">
        <v>0</v>
      </c>
      <c r="E15" s="38" t="s">
        <v>47</v>
      </c>
      <c r="G15" s="39">
        <v>389.25</v>
      </c>
      <c r="H15" s="40"/>
      <c r="K15" s="74"/>
      <c r="L15" s="81"/>
      <c r="M15" s="64"/>
      <c r="N15" s="69"/>
      <c r="P15" s="39"/>
    </row>
    <row r="16" spans="1:17" s="5" customFormat="1" ht="33" customHeight="1" x14ac:dyDescent="0.25">
      <c r="A16" s="4"/>
      <c r="B16" s="25" t="s">
        <v>2</v>
      </c>
      <c r="C16" s="25" t="s">
        <v>41</v>
      </c>
      <c r="D16" s="26" t="s">
        <v>48</v>
      </c>
      <c r="E16" s="27" t="s">
        <v>49</v>
      </c>
      <c r="F16" s="28" t="s">
        <v>44</v>
      </c>
      <c r="G16" s="29">
        <v>95.177999999999997</v>
      </c>
      <c r="H16" s="30">
        <v>165</v>
      </c>
      <c r="I16" s="31">
        <f>ROUND(H16*G16,2)</f>
        <v>15704.37</v>
      </c>
      <c r="J16" s="32"/>
      <c r="K16" s="70"/>
      <c r="L16" s="65">
        <f>M16-G16</f>
        <v>178.60000000000002</v>
      </c>
      <c r="M16" s="65">
        <f>L17+G18+L19</f>
        <v>273.77800000000002</v>
      </c>
      <c r="N16" s="68">
        <f>ROUND(L16*H16,2)</f>
        <v>29469</v>
      </c>
      <c r="O16" s="87">
        <v>0</v>
      </c>
      <c r="P16" s="77">
        <f>O16*L16</f>
        <v>0</v>
      </c>
      <c r="Q16" s="91"/>
    </row>
    <row r="17" spans="1:18" s="35" customFormat="1" ht="11.25" customHeight="1" x14ac:dyDescent="0.25">
      <c r="A17" s="34"/>
      <c r="C17" s="36" t="s">
        <v>46</v>
      </c>
      <c r="D17" s="37" t="s">
        <v>1</v>
      </c>
      <c r="E17" s="38" t="s">
        <v>50</v>
      </c>
      <c r="G17" s="39">
        <v>84.671999999999997</v>
      </c>
      <c r="H17" s="40"/>
      <c r="K17" s="85"/>
      <c r="L17" s="39">
        <f>35.2*1.6*2.1</f>
        <v>118.27200000000002</v>
      </c>
      <c r="M17" s="120" t="s">
        <v>284</v>
      </c>
      <c r="N17" s="121"/>
      <c r="P17" s="39"/>
      <c r="Q17" s="91"/>
    </row>
    <row r="18" spans="1:18" s="35" customFormat="1" x14ac:dyDescent="0.25">
      <c r="A18" s="34"/>
      <c r="C18" s="36" t="s">
        <v>46</v>
      </c>
      <c r="D18" s="37" t="s">
        <v>1</v>
      </c>
      <c r="E18" s="38" t="s">
        <v>51</v>
      </c>
      <c r="G18" s="39">
        <v>10.506</v>
      </c>
      <c r="H18" s="40"/>
      <c r="K18" s="74"/>
      <c r="L18" s="81"/>
      <c r="M18" s="64"/>
      <c r="N18" s="69"/>
      <c r="P18" s="39"/>
    </row>
    <row r="19" spans="1:18" s="35" customFormat="1" x14ac:dyDescent="0.25">
      <c r="A19" s="34"/>
      <c r="C19" s="36"/>
      <c r="D19" s="37"/>
      <c r="E19" s="38"/>
      <c r="G19" s="39"/>
      <c r="H19" s="40"/>
      <c r="K19" s="74"/>
      <c r="L19" s="81">
        <v>145</v>
      </c>
      <c r="M19" s="98" t="s">
        <v>302</v>
      </c>
      <c r="N19" s="69"/>
      <c r="P19" s="39"/>
      <c r="Q19" s="90"/>
    </row>
    <row r="20" spans="1:18" s="42" customFormat="1" x14ac:dyDescent="0.25">
      <c r="A20" s="41"/>
      <c r="C20" s="36" t="s">
        <v>46</v>
      </c>
      <c r="D20" s="43" t="s">
        <v>3</v>
      </c>
      <c r="E20" s="44" t="s">
        <v>52</v>
      </c>
      <c r="G20" s="45">
        <v>95.177999999999997</v>
      </c>
      <c r="H20" s="46"/>
      <c r="K20" s="75"/>
      <c r="L20" s="99">
        <f>L19+G18+L17</f>
        <v>273.77800000000002</v>
      </c>
      <c r="M20" s="98"/>
      <c r="N20" s="100"/>
      <c r="P20" s="45"/>
      <c r="Q20" s="93"/>
    </row>
    <row r="21" spans="1:18" s="5" customFormat="1" ht="33" customHeight="1" x14ac:dyDescent="0.25">
      <c r="A21" s="4"/>
      <c r="B21" s="25" t="s">
        <v>53</v>
      </c>
      <c r="C21" s="25" t="s">
        <v>41</v>
      </c>
      <c r="D21" s="26" t="s">
        <v>54</v>
      </c>
      <c r="E21" s="27" t="s">
        <v>55</v>
      </c>
      <c r="F21" s="28" t="s">
        <v>44</v>
      </c>
      <c r="G21" s="29">
        <v>20.766999999999999</v>
      </c>
      <c r="H21" s="30">
        <v>225</v>
      </c>
      <c r="I21" s="31">
        <f>ROUND(H21*G21,2)</f>
        <v>4672.58</v>
      </c>
      <c r="J21" s="32"/>
      <c r="K21" s="70"/>
      <c r="L21" s="65">
        <v>0</v>
      </c>
      <c r="M21" s="65">
        <f>L21+G21</f>
        <v>20.766999999999999</v>
      </c>
      <c r="N21" s="68">
        <f>ROUND(L21*H21,2)</f>
        <v>0</v>
      </c>
      <c r="P21" s="77"/>
    </row>
    <row r="22" spans="1:18" s="48" customFormat="1" ht="22.5" x14ac:dyDescent="0.25">
      <c r="A22" s="47"/>
      <c r="C22" s="36" t="s">
        <v>46</v>
      </c>
      <c r="D22" s="49" t="s">
        <v>1</v>
      </c>
      <c r="E22" s="50" t="s">
        <v>56</v>
      </c>
      <c r="G22" s="49" t="s">
        <v>1</v>
      </c>
      <c r="H22" s="51"/>
      <c r="K22" s="76"/>
      <c r="L22" s="101"/>
      <c r="M22" s="102"/>
      <c r="N22" s="103"/>
      <c r="P22" s="84"/>
    </row>
    <row r="23" spans="1:18" s="35" customFormat="1" x14ac:dyDescent="0.25">
      <c r="A23" s="34"/>
      <c r="C23" s="36" t="s">
        <v>46</v>
      </c>
      <c r="D23" s="37" t="s">
        <v>1</v>
      </c>
      <c r="E23" s="38" t="s">
        <v>57</v>
      </c>
      <c r="G23" s="39">
        <v>1.4419999999999999</v>
      </c>
      <c r="H23" s="40"/>
      <c r="K23" s="74"/>
      <c r="L23" s="81"/>
      <c r="M23" s="64"/>
      <c r="N23" s="69"/>
      <c r="P23" s="39"/>
    </row>
    <row r="24" spans="1:18" s="35" customFormat="1" x14ac:dyDescent="0.25">
      <c r="A24" s="34"/>
      <c r="C24" s="36" t="s">
        <v>46</v>
      </c>
      <c r="D24" s="37" t="s">
        <v>1</v>
      </c>
      <c r="E24" s="38" t="s">
        <v>58</v>
      </c>
      <c r="G24" s="39">
        <v>5.8609999999999998</v>
      </c>
      <c r="H24" s="40"/>
      <c r="K24" s="74"/>
      <c r="L24" s="81"/>
      <c r="M24" s="64"/>
      <c r="N24" s="69"/>
      <c r="P24" s="39"/>
    </row>
    <row r="25" spans="1:18" s="35" customFormat="1" x14ac:dyDescent="0.25">
      <c r="A25" s="34"/>
      <c r="C25" s="36" t="s">
        <v>46</v>
      </c>
      <c r="D25" s="37" t="s">
        <v>1</v>
      </c>
      <c r="E25" s="38" t="s">
        <v>59</v>
      </c>
      <c r="G25" s="39">
        <v>3.7490000000000001</v>
      </c>
      <c r="H25" s="40"/>
      <c r="K25" s="74"/>
      <c r="L25" s="81"/>
      <c r="M25" s="64"/>
      <c r="N25" s="69"/>
      <c r="P25" s="39"/>
    </row>
    <row r="26" spans="1:18" s="35" customFormat="1" x14ac:dyDescent="0.25">
      <c r="A26" s="34"/>
      <c r="C26" s="36" t="s">
        <v>46</v>
      </c>
      <c r="D26" s="37" t="s">
        <v>1</v>
      </c>
      <c r="E26" s="38" t="s">
        <v>60</v>
      </c>
      <c r="G26" s="39">
        <v>3.7490000000000001</v>
      </c>
      <c r="H26" s="40"/>
      <c r="K26" s="74"/>
      <c r="L26" s="81"/>
      <c r="M26" s="64"/>
      <c r="N26" s="69"/>
      <c r="P26" s="39"/>
    </row>
    <row r="27" spans="1:18" s="35" customFormat="1" x14ac:dyDescent="0.25">
      <c r="A27" s="34"/>
      <c r="C27" s="36" t="s">
        <v>46</v>
      </c>
      <c r="D27" s="37" t="s">
        <v>1</v>
      </c>
      <c r="E27" s="38" t="s">
        <v>61</v>
      </c>
      <c r="G27" s="39">
        <v>5.9660000000000002</v>
      </c>
      <c r="H27" s="40"/>
      <c r="K27" s="74"/>
      <c r="L27" s="81"/>
      <c r="M27" s="64"/>
      <c r="N27" s="69"/>
      <c r="P27" s="39"/>
    </row>
    <row r="28" spans="1:18" s="42" customFormat="1" x14ac:dyDescent="0.25">
      <c r="A28" s="41"/>
      <c r="C28" s="36" t="s">
        <v>46</v>
      </c>
      <c r="D28" s="43" t="s">
        <v>7</v>
      </c>
      <c r="E28" s="44" t="s">
        <v>52</v>
      </c>
      <c r="G28" s="45">
        <v>20.766999999999999</v>
      </c>
      <c r="H28" s="46"/>
      <c r="K28" s="75"/>
      <c r="L28" s="104"/>
      <c r="M28" s="98"/>
      <c r="N28" s="100"/>
      <c r="P28" s="45"/>
    </row>
    <row r="29" spans="1:18" s="5" customFormat="1" ht="21.75" customHeight="1" x14ac:dyDescent="0.25">
      <c r="A29" s="4"/>
      <c r="B29" s="25" t="s">
        <v>45</v>
      </c>
      <c r="C29" s="25" t="s">
        <v>41</v>
      </c>
      <c r="D29" s="26" t="s">
        <v>62</v>
      </c>
      <c r="E29" s="27" t="s">
        <v>63</v>
      </c>
      <c r="F29" s="28" t="s">
        <v>64</v>
      </c>
      <c r="G29" s="29">
        <v>142.57599999999999</v>
      </c>
      <c r="H29" s="30">
        <v>126</v>
      </c>
      <c r="I29" s="31">
        <f>ROUND(H29*G29,2)</f>
        <v>17964.580000000002</v>
      </c>
      <c r="J29" s="32"/>
      <c r="K29" s="70"/>
      <c r="L29" s="65">
        <f>M29-G29</f>
        <v>42.000000000000028</v>
      </c>
      <c r="M29" s="65">
        <f>L30+G31</f>
        <v>184.57600000000002</v>
      </c>
      <c r="N29" s="68">
        <f>ROUND(L29*H29,2)</f>
        <v>5292</v>
      </c>
      <c r="O29" s="87">
        <v>6.9999999999999999E-4</v>
      </c>
      <c r="P29" s="77">
        <f>O29*L29</f>
        <v>2.940000000000002E-2</v>
      </c>
      <c r="Q29" s="91" t="s">
        <v>315</v>
      </c>
      <c r="R29" s="91"/>
    </row>
    <row r="30" spans="1:18" s="35" customFormat="1" ht="15" customHeight="1" x14ac:dyDescent="0.25">
      <c r="A30" s="34"/>
      <c r="C30" s="36" t="s">
        <v>46</v>
      </c>
      <c r="D30" s="37" t="s">
        <v>1</v>
      </c>
      <c r="E30" s="38" t="s">
        <v>65</v>
      </c>
      <c r="G30" s="39">
        <v>112.56</v>
      </c>
      <c r="H30" s="40"/>
      <c r="K30" s="74"/>
      <c r="L30" s="81">
        <f>(35.2*2+1.6*2)*2.1</f>
        <v>154.56000000000003</v>
      </c>
      <c r="M30" s="112" t="s">
        <v>283</v>
      </c>
      <c r="N30" s="113"/>
      <c r="P30" s="39"/>
      <c r="Q30" s="90"/>
      <c r="R30" s="90"/>
    </row>
    <row r="31" spans="1:18" s="35" customFormat="1" x14ac:dyDescent="0.25">
      <c r="A31" s="34"/>
      <c r="C31" s="36" t="s">
        <v>46</v>
      </c>
      <c r="D31" s="37" t="s">
        <v>1</v>
      </c>
      <c r="E31" s="38" t="s">
        <v>66</v>
      </c>
      <c r="G31" s="39">
        <v>30.015999999999998</v>
      </c>
      <c r="H31" s="40"/>
      <c r="K31" s="74"/>
      <c r="L31" s="81"/>
      <c r="M31" s="64"/>
      <c r="N31" s="69"/>
      <c r="P31" s="39"/>
      <c r="Q31" s="90"/>
      <c r="R31" s="90"/>
    </row>
    <row r="32" spans="1:18" s="42" customFormat="1" x14ac:dyDescent="0.25">
      <c r="A32" s="41"/>
      <c r="C32" s="36" t="s">
        <v>46</v>
      </c>
      <c r="D32" s="43" t="s">
        <v>1</v>
      </c>
      <c r="E32" s="44" t="s">
        <v>52</v>
      </c>
      <c r="G32" s="45">
        <v>142.57599999999999</v>
      </c>
      <c r="H32" s="46"/>
      <c r="K32" s="75"/>
      <c r="L32" s="105">
        <f>L30+G31</f>
        <v>184.57600000000002</v>
      </c>
      <c r="M32" s="98"/>
      <c r="N32" s="100"/>
      <c r="P32" s="45"/>
      <c r="Q32" s="92"/>
      <c r="R32" s="92"/>
    </row>
    <row r="33" spans="1:20" s="5" customFormat="1" ht="16.5" customHeight="1" x14ac:dyDescent="0.25">
      <c r="A33" s="4"/>
      <c r="B33" s="25" t="s">
        <v>67</v>
      </c>
      <c r="C33" s="25" t="s">
        <v>41</v>
      </c>
      <c r="D33" s="26" t="s">
        <v>68</v>
      </c>
      <c r="E33" s="27" t="s">
        <v>69</v>
      </c>
      <c r="F33" s="28" t="s">
        <v>64</v>
      </c>
      <c r="G33" s="29">
        <v>142.57599999999999</v>
      </c>
      <c r="H33" s="30">
        <v>56</v>
      </c>
      <c r="I33" s="31">
        <f>ROUND(H33*G33,2)</f>
        <v>7984.26</v>
      </c>
      <c r="J33" s="32"/>
      <c r="K33" s="70"/>
      <c r="L33" s="65">
        <f>L29</f>
        <v>42.000000000000028</v>
      </c>
      <c r="M33" s="65">
        <f>M29</f>
        <v>184.57600000000002</v>
      </c>
      <c r="N33" s="68">
        <f>ROUND(L33*H33,2)</f>
        <v>2352</v>
      </c>
      <c r="O33" s="87"/>
      <c r="P33" s="77">
        <f t="shared" ref="P33:P34" si="0">O33*L33</f>
        <v>0</v>
      </c>
      <c r="Q33" s="91"/>
      <c r="R33" s="91"/>
    </row>
    <row r="34" spans="1:20" s="5" customFormat="1" ht="21.75" customHeight="1" x14ac:dyDescent="0.25">
      <c r="A34" s="4"/>
      <c r="B34" s="25" t="s">
        <v>70</v>
      </c>
      <c r="C34" s="25" t="s">
        <v>41</v>
      </c>
      <c r="D34" s="26" t="s">
        <v>71</v>
      </c>
      <c r="E34" s="27" t="s">
        <v>72</v>
      </c>
      <c r="F34" s="28" t="s">
        <v>44</v>
      </c>
      <c r="G34" s="29">
        <v>95.177999999999997</v>
      </c>
      <c r="H34" s="30">
        <v>50</v>
      </c>
      <c r="I34" s="31">
        <f>ROUND(H34*G34,2)</f>
        <v>4758.8999999999996</v>
      </c>
      <c r="J34" s="32"/>
      <c r="K34" s="70"/>
      <c r="L34" s="65">
        <f>L35</f>
        <v>178.60000000000002</v>
      </c>
      <c r="M34" s="65">
        <f>L34+G34</f>
        <v>273.77800000000002</v>
      </c>
      <c r="N34" s="68">
        <f>ROUND(L34*H34,2)</f>
        <v>8930</v>
      </c>
      <c r="O34" s="87">
        <v>4.6000000000000001E-4</v>
      </c>
      <c r="P34" s="77">
        <f t="shared" si="0"/>
        <v>8.2156000000000007E-2</v>
      </c>
      <c r="Q34" s="91"/>
      <c r="R34" s="91"/>
      <c r="T34" s="95" t="s">
        <v>313</v>
      </c>
    </row>
    <row r="35" spans="1:20" s="35" customFormat="1" x14ac:dyDescent="0.25">
      <c r="A35" s="34"/>
      <c r="C35" s="36" t="s">
        <v>46</v>
      </c>
      <c r="D35" s="37" t="s">
        <v>1</v>
      </c>
      <c r="E35" s="38" t="s">
        <v>3</v>
      </c>
      <c r="G35" s="39">
        <v>95.177999999999997</v>
      </c>
      <c r="H35" s="40"/>
      <c r="K35" s="74"/>
      <c r="L35" s="104">
        <f>L16</f>
        <v>178.60000000000002</v>
      </c>
      <c r="M35" s="64" t="s">
        <v>3</v>
      </c>
      <c r="N35" s="69"/>
      <c r="P35" s="39"/>
      <c r="Q35" s="90"/>
      <c r="R35" s="90"/>
    </row>
    <row r="36" spans="1:20" s="5" customFormat="1" ht="24.2" customHeight="1" x14ac:dyDescent="0.25">
      <c r="A36" s="4"/>
      <c r="B36" s="25" t="s">
        <v>73</v>
      </c>
      <c r="C36" s="25" t="s">
        <v>41</v>
      </c>
      <c r="D36" s="26" t="s">
        <v>74</v>
      </c>
      <c r="E36" s="27" t="s">
        <v>75</v>
      </c>
      <c r="F36" s="28" t="s">
        <v>44</v>
      </c>
      <c r="G36" s="29">
        <v>95.177999999999997</v>
      </c>
      <c r="H36" s="30">
        <v>10</v>
      </c>
      <c r="I36" s="31">
        <f>ROUND(H36*G36,2)</f>
        <v>951.78</v>
      </c>
      <c r="J36" s="32"/>
      <c r="K36" s="70"/>
      <c r="L36" s="65">
        <f>L34</f>
        <v>178.60000000000002</v>
      </c>
      <c r="M36" s="65">
        <f>L36+G36</f>
        <v>273.77800000000002</v>
      </c>
      <c r="N36" s="68">
        <f>ROUND(L36*H36,2)</f>
        <v>1786</v>
      </c>
      <c r="O36" s="87">
        <v>0</v>
      </c>
      <c r="P36" s="77">
        <f t="shared" ref="P36:P37" si="1">O36*L36</f>
        <v>0</v>
      </c>
      <c r="Q36" s="91"/>
      <c r="R36" s="91"/>
    </row>
    <row r="37" spans="1:20" s="5" customFormat="1" ht="33" customHeight="1" x14ac:dyDescent="0.25">
      <c r="A37" s="4"/>
      <c r="B37" s="25" t="s">
        <v>76</v>
      </c>
      <c r="C37" s="25" t="s">
        <v>41</v>
      </c>
      <c r="D37" s="26" t="s">
        <v>77</v>
      </c>
      <c r="E37" s="27" t="s">
        <v>78</v>
      </c>
      <c r="F37" s="28" t="s">
        <v>44</v>
      </c>
      <c r="G37" s="29">
        <v>455.53300000000002</v>
      </c>
      <c r="H37" s="30">
        <v>125</v>
      </c>
      <c r="I37" s="31">
        <f>ROUND(H37*G37,2)</f>
        <v>56941.63</v>
      </c>
      <c r="J37" s="32"/>
      <c r="K37" s="70"/>
      <c r="L37" s="65">
        <f>M37-G37</f>
        <v>160.23980000000006</v>
      </c>
      <c r="M37" s="65">
        <f>L38</f>
        <v>615.77280000000007</v>
      </c>
      <c r="N37" s="68">
        <f>ROUND(L37*H37,2)</f>
        <v>20029.98</v>
      </c>
      <c r="O37" s="87"/>
      <c r="P37" s="77">
        <f t="shared" si="1"/>
        <v>0</v>
      </c>
      <c r="Q37" s="91" t="s">
        <v>311</v>
      </c>
      <c r="R37" s="91"/>
    </row>
    <row r="38" spans="1:20" s="35" customFormat="1" ht="11.25" customHeight="1" x14ac:dyDescent="0.25">
      <c r="A38" s="34"/>
      <c r="C38" s="36" t="s">
        <v>46</v>
      </c>
      <c r="D38" s="37" t="s">
        <v>5</v>
      </c>
      <c r="E38" s="38" t="s">
        <v>79</v>
      </c>
      <c r="G38" s="39">
        <v>455.53300000000002</v>
      </c>
      <c r="H38" s="40"/>
      <c r="K38" s="74"/>
      <c r="L38" s="104">
        <f>M14+M16+M21-M43</f>
        <v>615.77280000000007</v>
      </c>
      <c r="M38" s="112" t="s">
        <v>303</v>
      </c>
      <c r="N38" s="113"/>
      <c r="P38" s="39"/>
    </row>
    <row r="39" spans="1:20" s="5" customFormat="1" ht="24.2" customHeight="1" x14ac:dyDescent="0.25">
      <c r="A39" s="4"/>
      <c r="B39" s="97" t="s">
        <v>80</v>
      </c>
      <c r="C39" s="25" t="s">
        <v>41</v>
      </c>
      <c r="D39" s="26" t="s">
        <v>81</v>
      </c>
      <c r="E39" s="27" t="s">
        <v>82</v>
      </c>
      <c r="F39" s="28" t="s">
        <v>83</v>
      </c>
      <c r="G39" s="29">
        <v>842.73599999999999</v>
      </c>
      <c r="H39" s="30">
        <v>140</v>
      </c>
      <c r="I39" s="31">
        <f>ROUND(H39*G39,2)</f>
        <v>117983.03999999999</v>
      </c>
      <c r="J39" s="32"/>
      <c r="K39" s="70"/>
      <c r="L39" s="65">
        <f>M39-G39</f>
        <v>152.42099499999995</v>
      </c>
      <c r="M39" s="65">
        <f>L40</f>
        <v>995.15699499999994</v>
      </c>
      <c r="N39" s="68">
        <f>ROUND(L39*H39,2)</f>
        <v>21338.94</v>
      </c>
      <c r="O39" s="87">
        <v>0</v>
      </c>
      <c r="P39" s="77">
        <f>O39*L39</f>
        <v>0</v>
      </c>
      <c r="Q39" s="91"/>
    </row>
    <row r="40" spans="1:20" s="35" customFormat="1" x14ac:dyDescent="0.25">
      <c r="A40" s="34"/>
      <c r="C40" s="36" t="s">
        <v>46</v>
      </c>
      <c r="D40" s="37" t="s">
        <v>1</v>
      </c>
      <c r="E40" s="38" t="s">
        <v>84</v>
      </c>
      <c r="G40" s="39">
        <v>842.73599999999999</v>
      </c>
      <c r="H40" s="40"/>
      <c r="K40" s="74"/>
      <c r="L40" s="104">
        <f>537.9227*1.85</f>
        <v>995.15699499999994</v>
      </c>
      <c r="M40" s="112" t="s">
        <v>307</v>
      </c>
      <c r="N40" s="113"/>
      <c r="P40" s="39"/>
    </row>
    <row r="41" spans="1:20" s="5" customFormat="1" ht="16.5" customHeight="1" x14ac:dyDescent="0.25">
      <c r="A41" s="4"/>
      <c r="B41" s="25" t="s">
        <v>85</v>
      </c>
      <c r="C41" s="25" t="s">
        <v>41</v>
      </c>
      <c r="D41" s="26" t="s">
        <v>86</v>
      </c>
      <c r="E41" s="27" t="s">
        <v>87</v>
      </c>
      <c r="F41" s="28" t="s">
        <v>44</v>
      </c>
      <c r="G41" s="29">
        <v>455.53300000000002</v>
      </c>
      <c r="H41" s="30">
        <v>28</v>
      </c>
      <c r="I41" s="31">
        <f>ROUND(H41*G41,2)</f>
        <v>12754.92</v>
      </c>
      <c r="J41" s="32"/>
      <c r="K41" s="70"/>
      <c r="L41" s="65">
        <f>M41-G41</f>
        <v>160.23980000000006</v>
      </c>
      <c r="M41" s="65">
        <f>L42</f>
        <v>615.77280000000007</v>
      </c>
      <c r="N41" s="68">
        <f>ROUND(L41*H41,2)</f>
        <v>4486.71</v>
      </c>
      <c r="O41" s="87">
        <v>0</v>
      </c>
      <c r="P41" s="77">
        <f>O41*L41</f>
        <v>0</v>
      </c>
      <c r="Q41" s="91" t="s">
        <v>312</v>
      </c>
    </row>
    <row r="42" spans="1:20" s="35" customFormat="1" ht="15" customHeight="1" x14ac:dyDescent="0.25">
      <c r="A42" s="34"/>
      <c r="C42" s="36" t="s">
        <v>46</v>
      </c>
      <c r="D42" s="37" t="s">
        <v>1</v>
      </c>
      <c r="E42" s="38" t="s">
        <v>5</v>
      </c>
      <c r="G42" s="39">
        <v>455.53300000000002</v>
      </c>
      <c r="H42" s="40"/>
      <c r="K42" s="74"/>
      <c r="L42" s="104">
        <f>L38</f>
        <v>615.77280000000007</v>
      </c>
      <c r="M42" s="123" t="s">
        <v>5</v>
      </c>
      <c r="N42" s="121"/>
      <c r="P42" s="39"/>
    </row>
    <row r="43" spans="1:20" s="5" customFormat="1" ht="24.2" customHeight="1" x14ac:dyDescent="0.25">
      <c r="A43" s="4"/>
      <c r="B43" s="25" t="s">
        <v>88</v>
      </c>
      <c r="C43" s="25" t="s">
        <v>41</v>
      </c>
      <c r="D43" s="26" t="s">
        <v>89</v>
      </c>
      <c r="E43" s="27" t="s">
        <v>90</v>
      </c>
      <c r="F43" s="28" t="s">
        <v>44</v>
      </c>
      <c r="G43" s="29">
        <v>49.661999999999999</v>
      </c>
      <c r="H43" s="30">
        <v>180</v>
      </c>
      <c r="I43" s="31">
        <f>ROUND(H43*G43,2)</f>
        <v>8939.16</v>
      </c>
      <c r="J43" s="32"/>
      <c r="K43" s="70"/>
      <c r="L43" s="65">
        <f>M43-G43</f>
        <v>18.360200000000013</v>
      </c>
      <c r="M43" s="65">
        <f>L44+G45</f>
        <v>68.022200000000012</v>
      </c>
      <c r="N43" s="68">
        <f>ROUND(L43*H43,2)</f>
        <v>3304.84</v>
      </c>
      <c r="O43" s="87">
        <v>0</v>
      </c>
      <c r="P43" s="77">
        <f>O43*L43</f>
        <v>0</v>
      </c>
      <c r="Q43" s="91" t="s">
        <v>310</v>
      </c>
    </row>
    <row r="44" spans="1:20" s="35" customFormat="1" ht="22.5" x14ac:dyDescent="0.25">
      <c r="A44" s="34"/>
      <c r="C44" s="36" t="s">
        <v>46</v>
      </c>
      <c r="D44" s="37" t="s">
        <v>1</v>
      </c>
      <c r="E44" s="38" t="s">
        <v>91</v>
      </c>
      <c r="G44" s="39">
        <v>46.267000000000003</v>
      </c>
      <c r="H44" s="40"/>
      <c r="K44" s="74"/>
      <c r="L44" s="81">
        <f>35.2*1.6*2.1-34*1.2*(0.15+0.3+0.52+0.3)-0.6*1.27*1.2*2</f>
        <v>64.627200000000016</v>
      </c>
      <c r="M44" s="64" t="s">
        <v>285</v>
      </c>
      <c r="N44" s="69"/>
      <c r="P44" s="39"/>
    </row>
    <row r="45" spans="1:20" s="35" customFormat="1" x14ac:dyDescent="0.25">
      <c r="A45" s="34"/>
      <c r="C45" s="36" t="s">
        <v>46</v>
      </c>
      <c r="D45" s="37" t="s">
        <v>1</v>
      </c>
      <c r="E45" s="38" t="s">
        <v>92</v>
      </c>
      <c r="G45" s="39">
        <v>3.395</v>
      </c>
      <c r="H45" s="40"/>
      <c r="K45" s="74"/>
      <c r="L45" s="81"/>
      <c r="M45" s="64"/>
      <c r="N45" s="69"/>
      <c r="P45" s="39"/>
    </row>
    <row r="46" spans="1:20" s="42" customFormat="1" x14ac:dyDescent="0.25">
      <c r="A46" s="41"/>
      <c r="C46" s="36" t="s">
        <v>46</v>
      </c>
      <c r="D46" s="43" t="s">
        <v>9</v>
      </c>
      <c r="E46" s="44" t="s">
        <v>52</v>
      </c>
      <c r="G46" s="45">
        <v>49.661999999999999</v>
      </c>
      <c r="H46" s="46"/>
      <c r="K46" s="75"/>
      <c r="L46" s="105">
        <f>L44+G45</f>
        <v>68.022200000000012</v>
      </c>
      <c r="M46" s="98"/>
      <c r="N46" s="100"/>
      <c r="P46" s="45"/>
    </row>
    <row r="47" spans="1:20" s="5" customFormat="1" ht="24.2" customHeight="1" x14ac:dyDescent="0.25">
      <c r="A47" s="4"/>
      <c r="B47" s="25" t="s">
        <v>93</v>
      </c>
      <c r="C47" s="25" t="s">
        <v>41</v>
      </c>
      <c r="D47" s="26" t="s">
        <v>94</v>
      </c>
      <c r="E47" s="27" t="s">
        <v>95</v>
      </c>
      <c r="F47" s="28" t="s">
        <v>44</v>
      </c>
      <c r="G47" s="29">
        <v>22.244</v>
      </c>
      <c r="H47" s="30">
        <v>195</v>
      </c>
      <c r="I47" s="31">
        <f>ROUND(H47*G47,2)</f>
        <v>4337.58</v>
      </c>
      <c r="J47" s="32"/>
      <c r="K47" s="70"/>
      <c r="L47" s="65">
        <v>0</v>
      </c>
      <c r="M47" s="65">
        <f>L47+G47</f>
        <v>22.244</v>
      </c>
      <c r="N47" s="68">
        <f>ROUND(L47*H47,2)</f>
        <v>0</v>
      </c>
      <c r="P47" s="77"/>
    </row>
    <row r="48" spans="1:20" s="35" customFormat="1" x14ac:dyDescent="0.25">
      <c r="A48" s="34"/>
      <c r="C48" s="36" t="s">
        <v>46</v>
      </c>
      <c r="D48" s="37" t="s">
        <v>1</v>
      </c>
      <c r="E48" s="38" t="s">
        <v>96</v>
      </c>
      <c r="G48" s="39">
        <v>22.244</v>
      </c>
      <c r="H48" s="40"/>
      <c r="K48" s="74"/>
      <c r="L48" s="81"/>
      <c r="M48" s="64"/>
      <c r="N48" s="69"/>
      <c r="P48" s="39"/>
    </row>
    <row r="49" spans="1:16" s="5" customFormat="1" ht="16.5" customHeight="1" x14ac:dyDescent="0.25">
      <c r="A49" s="4"/>
      <c r="B49" s="52" t="s">
        <v>97</v>
      </c>
      <c r="C49" s="52" t="s">
        <v>98</v>
      </c>
      <c r="D49" s="53" t="s">
        <v>99</v>
      </c>
      <c r="E49" s="54" t="s">
        <v>100</v>
      </c>
      <c r="F49" s="55" t="s">
        <v>83</v>
      </c>
      <c r="G49" s="56">
        <v>44.488</v>
      </c>
      <c r="H49" s="57">
        <v>245</v>
      </c>
      <c r="I49" s="58">
        <f>ROUND(H49*G49,2)</f>
        <v>10899.56</v>
      </c>
      <c r="J49" s="59"/>
      <c r="K49" s="70"/>
      <c r="L49" s="65">
        <v>0</v>
      </c>
      <c r="M49" s="65">
        <f>L49+G49</f>
        <v>44.488</v>
      </c>
      <c r="N49" s="68">
        <f>ROUND(L49*H49,2)</f>
        <v>0</v>
      </c>
      <c r="P49" s="77"/>
    </row>
    <row r="50" spans="1:16" s="35" customFormat="1" x14ac:dyDescent="0.25">
      <c r="A50" s="34"/>
      <c r="C50" s="36" t="s">
        <v>46</v>
      </c>
      <c r="E50" s="38" t="s">
        <v>101</v>
      </c>
      <c r="G50" s="39">
        <v>44.488</v>
      </c>
      <c r="H50" s="40"/>
      <c r="K50" s="74"/>
      <c r="L50" s="81"/>
      <c r="M50" s="64"/>
      <c r="N50" s="69"/>
      <c r="P50" s="39"/>
    </row>
    <row r="51" spans="1:16" s="5" customFormat="1" ht="33" customHeight="1" x14ac:dyDescent="0.25">
      <c r="A51" s="4"/>
      <c r="B51" s="25" t="s">
        <v>102</v>
      </c>
      <c r="C51" s="25" t="s">
        <v>41</v>
      </c>
      <c r="D51" s="26" t="s">
        <v>103</v>
      </c>
      <c r="E51" s="27" t="s">
        <v>104</v>
      </c>
      <c r="F51" s="28" t="s">
        <v>64</v>
      </c>
      <c r="G51" s="29">
        <v>517.75</v>
      </c>
      <c r="H51" s="30">
        <v>17</v>
      </c>
      <c r="I51" s="31">
        <f>ROUND(H51*G51,2)</f>
        <v>8801.75</v>
      </c>
      <c r="J51" s="32"/>
      <c r="K51" s="70"/>
      <c r="L51" s="65">
        <v>0</v>
      </c>
      <c r="M51" s="65">
        <f>L51+G51</f>
        <v>517.75</v>
      </c>
      <c r="N51" s="68">
        <f>ROUND(L51*H51,2)</f>
        <v>0</v>
      </c>
      <c r="P51" s="77"/>
    </row>
    <row r="52" spans="1:16" s="35" customFormat="1" x14ac:dyDescent="0.25">
      <c r="A52" s="34"/>
      <c r="C52" s="36" t="s">
        <v>46</v>
      </c>
      <c r="D52" s="37" t="s">
        <v>11</v>
      </c>
      <c r="E52" s="38" t="s">
        <v>105</v>
      </c>
      <c r="G52" s="39">
        <v>517.75</v>
      </c>
      <c r="H52" s="40"/>
      <c r="K52" s="74"/>
      <c r="L52" s="81"/>
      <c r="M52" s="64"/>
      <c r="N52" s="69"/>
      <c r="P52" s="39"/>
    </row>
    <row r="53" spans="1:16" s="5" customFormat="1" ht="16.5" customHeight="1" x14ac:dyDescent="0.25">
      <c r="A53" s="4"/>
      <c r="B53" s="52" t="s">
        <v>106</v>
      </c>
      <c r="C53" s="52" t="s">
        <v>98</v>
      </c>
      <c r="D53" s="53" t="s">
        <v>107</v>
      </c>
      <c r="E53" s="54" t="s">
        <v>108</v>
      </c>
      <c r="F53" s="55" t="s">
        <v>83</v>
      </c>
      <c r="G53" s="56">
        <v>143.67599999999999</v>
      </c>
      <c r="H53" s="57">
        <v>400</v>
      </c>
      <c r="I53" s="58">
        <f>ROUND(H53*G53,2)</f>
        <v>57470.400000000001</v>
      </c>
      <c r="J53" s="59"/>
      <c r="K53" s="70"/>
      <c r="L53" s="65">
        <v>0</v>
      </c>
      <c r="M53" s="65">
        <f>L53+G53</f>
        <v>143.67599999999999</v>
      </c>
      <c r="N53" s="68">
        <f>ROUND(L53*H53,2)</f>
        <v>0</v>
      </c>
      <c r="P53" s="77"/>
    </row>
    <row r="54" spans="1:16" s="35" customFormat="1" x14ac:dyDescent="0.25">
      <c r="A54" s="34"/>
      <c r="C54" s="36" t="s">
        <v>46</v>
      </c>
      <c r="D54" s="37" t="s">
        <v>1</v>
      </c>
      <c r="E54" s="38" t="s">
        <v>109</v>
      </c>
      <c r="G54" s="39">
        <v>143.67599999999999</v>
      </c>
      <c r="H54" s="40"/>
      <c r="K54" s="74"/>
      <c r="L54" s="81"/>
      <c r="M54" s="64"/>
      <c r="N54" s="69"/>
      <c r="P54" s="39"/>
    </row>
    <row r="55" spans="1:16" s="5" customFormat="1" ht="24.2" customHeight="1" x14ac:dyDescent="0.25">
      <c r="A55" s="4"/>
      <c r="B55" s="25" t="s">
        <v>110</v>
      </c>
      <c r="C55" s="25" t="s">
        <v>41</v>
      </c>
      <c r="D55" s="26" t="s">
        <v>111</v>
      </c>
      <c r="E55" s="27" t="s">
        <v>112</v>
      </c>
      <c r="F55" s="28" t="s">
        <v>64</v>
      </c>
      <c r="G55" s="29">
        <v>517.75</v>
      </c>
      <c r="H55" s="30">
        <v>21</v>
      </c>
      <c r="I55" s="31">
        <f>ROUND(H55*G55,2)</f>
        <v>10872.75</v>
      </c>
      <c r="J55" s="32"/>
      <c r="K55" s="70"/>
      <c r="L55" s="65">
        <v>0</v>
      </c>
      <c r="M55" s="65">
        <f>L55+G55</f>
        <v>517.75</v>
      </c>
      <c r="N55" s="68">
        <f>ROUND(L55*H55,2)</f>
        <v>0</v>
      </c>
      <c r="P55" s="77"/>
    </row>
    <row r="56" spans="1:16" s="35" customFormat="1" x14ac:dyDescent="0.25">
      <c r="A56" s="34"/>
      <c r="C56" s="36" t="s">
        <v>46</v>
      </c>
      <c r="D56" s="37" t="s">
        <v>1</v>
      </c>
      <c r="E56" s="38" t="s">
        <v>113</v>
      </c>
      <c r="G56" s="39">
        <v>517.75</v>
      </c>
      <c r="H56" s="40"/>
      <c r="K56" s="74"/>
      <c r="L56" s="81"/>
      <c r="M56" s="64"/>
      <c r="N56" s="69"/>
      <c r="P56" s="39"/>
    </row>
    <row r="57" spans="1:16" s="5" customFormat="1" ht="16.5" customHeight="1" x14ac:dyDescent="0.25">
      <c r="A57" s="4"/>
      <c r="B57" s="52" t="s">
        <v>114</v>
      </c>
      <c r="C57" s="52" t="s">
        <v>98</v>
      </c>
      <c r="D57" s="53" t="s">
        <v>115</v>
      </c>
      <c r="E57" s="54" t="s">
        <v>116</v>
      </c>
      <c r="F57" s="55" t="s">
        <v>117</v>
      </c>
      <c r="G57" s="56">
        <v>15.532999999999999</v>
      </c>
      <c r="H57" s="57">
        <v>450</v>
      </c>
      <c r="I57" s="58">
        <f>ROUND(H57*G57,2)</f>
        <v>6989.85</v>
      </c>
      <c r="J57" s="59"/>
      <c r="K57" s="70"/>
      <c r="L57" s="65">
        <v>0</v>
      </c>
      <c r="M57" s="65">
        <f>L57+G57</f>
        <v>15.532999999999999</v>
      </c>
      <c r="N57" s="68">
        <f>ROUND(L57*H57,2)</f>
        <v>0</v>
      </c>
      <c r="P57" s="77"/>
    </row>
    <row r="58" spans="1:16" s="35" customFormat="1" x14ac:dyDescent="0.25">
      <c r="A58" s="34"/>
      <c r="C58" s="36" t="s">
        <v>46</v>
      </c>
      <c r="D58" s="37" t="s">
        <v>1</v>
      </c>
      <c r="E58" s="38" t="s">
        <v>118</v>
      </c>
      <c r="G58" s="39">
        <v>15.532999999999999</v>
      </c>
      <c r="H58" s="40"/>
      <c r="K58" s="74"/>
      <c r="L58" s="81"/>
      <c r="M58" s="64"/>
      <c r="N58" s="69"/>
      <c r="P58" s="39"/>
    </row>
    <row r="59" spans="1:16" s="5" customFormat="1" ht="33" customHeight="1" x14ac:dyDescent="0.25">
      <c r="A59" s="4"/>
      <c r="B59" s="25" t="s">
        <v>119</v>
      </c>
      <c r="C59" s="25" t="s">
        <v>41</v>
      </c>
      <c r="D59" s="26" t="s">
        <v>120</v>
      </c>
      <c r="E59" s="27" t="s">
        <v>121</v>
      </c>
      <c r="F59" s="28" t="s">
        <v>64</v>
      </c>
      <c r="G59" s="29">
        <v>517.75</v>
      </c>
      <c r="H59" s="30">
        <v>16</v>
      </c>
      <c r="I59" s="31">
        <f>ROUND(H59*G59,2)</f>
        <v>8284</v>
      </c>
      <c r="J59" s="32"/>
      <c r="K59" s="70"/>
      <c r="L59" s="107">
        <f>M59-G59</f>
        <v>-517.75</v>
      </c>
      <c r="M59" s="107">
        <v>0</v>
      </c>
      <c r="N59" s="108">
        <f>ROUND(L59*H59,2)</f>
        <v>-8284</v>
      </c>
      <c r="P59" s="77"/>
    </row>
    <row r="60" spans="1:16" s="35" customFormat="1" x14ac:dyDescent="0.25">
      <c r="A60" s="34"/>
      <c r="C60" s="36" t="s">
        <v>46</v>
      </c>
      <c r="D60" s="37" t="s">
        <v>1</v>
      </c>
      <c r="E60" s="38" t="s">
        <v>113</v>
      </c>
      <c r="G60" s="39">
        <v>517.75</v>
      </c>
      <c r="H60" s="40"/>
      <c r="K60" s="74"/>
      <c r="L60" s="109"/>
      <c r="M60" s="110"/>
      <c r="N60" s="111"/>
      <c r="P60" s="39"/>
    </row>
    <row r="61" spans="1:16" s="5" customFormat="1" ht="16.5" customHeight="1" x14ac:dyDescent="0.25">
      <c r="A61" s="4"/>
      <c r="B61" s="25" t="s">
        <v>122</v>
      </c>
      <c r="C61" s="25" t="s">
        <v>41</v>
      </c>
      <c r="D61" s="26" t="s">
        <v>123</v>
      </c>
      <c r="E61" s="27" t="s">
        <v>124</v>
      </c>
      <c r="F61" s="28" t="s">
        <v>44</v>
      </c>
      <c r="G61" s="29">
        <v>2.589</v>
      </c>
      <c r="H61" s="30">
        <v>150</v>
      </c>
      <c r="I61" s="31">
        <f>ROUND(H61*G61,2)</f>
        <v>388.35</v>
      </c>
      <c r="J61" s="32"/>
      <c r="K61" s="70"/>
      <c r="L61" s="107">
        <f>M61-G61</f>
        <v>-2.589</v>
      </c>
      <c r="M61" s="107">
        <v>0</v>
      </c>
      <c r="N61" s="108">
        <f>ROUND(L61*H61,2)</f>
        <v>-388.35</v>
      </c>
      <c r="P61" s="77"/>
    </row>
    <row r="62" spans="1:16" s="35" customFormat="1" x14ac:dyDescent="0.25">
      <c r="A62" s="34"/>
      <c r="C62" s="36" t="s">
        <v>46</v>
      </c>
      <c r="D62" s="37" t="s">
        <v>1</v>
      </c>
      <c r="E62" s="38" t="s">
        <v>125</v>
      </c>
      <c r="G62" s="39">
        <v>2.589</v>
      </c>
      <c r="H62" s="40"/>
      <c r="K62" s="74"/>
      <c r="L62" s="109"/>
      <c r="M62" s="110"/>
      <c r="N62" s="111"/>
      <c r="P62" s="39"/>
    </row>
    <row r="63" spans="1:16" s="5" customFormat="1" ht="21.75" customHeight="1" x14ac:dyDescent="0.25">
      <c r="A63" s="4"/>
      <c r="B63" s="25" t="s">
        <v>126</v>
      </c>
      <c r="C63" s="25" t="s">
        <v>41</v>
      </c>
      <c r="D63" s="26" t="s">
        <v>127</v>
      </c>
      <c r="E63" s="27" t="s">
        <v>128</v>
      </c>
      <c r="F63" s="28" t="s">
        <v>44</v>
      </c>
      <c r="G63" s="29">
        <v>2.589</v>
      </c>
      <c r="H63" s="30">
        <v>250</v>
      </c>
      <c r="I63" s="31">
        <f>ROUND(H63*G63,2)</f>
        <v>647.25</v>
      </c>
      <c r="J63" s="32"/>
      <c r="K63" s="70"/>
      <c r="L63" s="107">
        <f>M63-G63</f>
        <v>-2.589</v>
      </c>
      <c r="M63" s="107">
        <v>0</v>
      </c>
      <c r="N63" s="108">
        <f>ROUND(L63*H63,2)</f>
        <v>-647.25</v>
      </c>
      <c r="P63" s="77"/>
    </row>
    <row r="64" spans="1:16" s="35" customFormat="1" x14ac:dyDescent="0.25">
      <c r="A64" s="34"/>
      <c r="C64" s="36" t="s">
        <v>46</v>
      </c>
      <c r="D64" s="37" t="s">
        <v>1</v>
      </c>
      <c r="E64" s="38" t="s">
        <v>125</v>
      </c>
      <c r="G64" s="39">
        <v>2.589</v>
      </c>
      <c r="H64" s="40"/>
      <c r="K64" s="74"/>
      <c r="L64" s="109"/>
      <c r="M64" s="110"/>
      <c r="N64" s="111"/>
      <c r="P64" s="39"/>
    </row>
    <row r="65" spans="1:23" s="5" customFormat="1" ht="24.2" customHeight="1" x14ac:dyDescent="0.25">
      <c r="A65" s="4"/>
      <c r="B65" s="25" t="s">
        <v>129</v>
      </c>
      <c r="C65" s="25" t="s">
        <v>41</v>
      </c>
      <c r="D65" s="26" t="s">
        <v>130</v>
      </c>
      <c r="E65" s="27" t="s">
        <v>131</v>
      </c>
      <c r="F65" s="28" t="s">
        <v>44</v>
      </c>
      <c r="G65" s="29">
        <v>12.944000000000001</v>
      </c>
      <c r="H65" s="30">
        <v>20</v>
      </c>
      <c r="I65" s="31">
        <f>ROUND(H65*G65,2)</f>
        <v>258.88</v>
      </c>
      <c r="J65" s="32"/>
      <c r="K65" s="70"/>
      <c r="L65" s="107">
        <f>M65-G65</f>
        <v>-12.944000000000001</v>
      </c>
      <c r="M65" s="107">
        <v>0</v>
      </c>
      <c r="N65" s="108">
        <f>ROUND(L65*H65,2)</f>
        <v>-258.88</v>
      </c>
      <c r="P65" s="77"/>
    </row>
    <row r="66" spans="1:23" s="35" customFormat="1" x14ac:dyDescent="0.25">
      <c r="A66" s="34"/>
      <c r="C66" s="36" t="s">
        <v>46</v>
      </c>
      <c r="D66" s="37" t="s">
        <v>1</v>
      </c>
      <c r="E66" s="38" t="s">
        <v>132</v>
      </c>
      <c r="G66" s="39">
        <v>12.944000000000001</v>
      </c>
      <c r="H66" s="40"/>
      <c r="K66" s="74"/>
      <c r="L66" s="81"/>
      <c r="M66" s="64"/>
      <c r="N66" s="69"/>
      <c r="P66" s="39"/>
    </row>
    <row r="67" spans="1:23" s="18" customFormat="1" ht="22.9" customHeight="1" x14ac:dyDescent="0.2">
      <c r="A67" s="17"/>
      <c r="C67" s="19" t="s">
        <v>36</v>
      </c>
      <c r="D67" s="23" t="s">
        <v>2</v>
      </c>
      <c r="E67" s="23" t="s">
        <v>133</v>
      </c>
      <c r="H67" s="21"/>
      <c r="I67" s="24">
        <f>SUM(I68:I73)</f>
        <v>39697.320000000007</v>
      </c>
      <c r="K67" s="73"/>
      <c r="L67" s="80"/>
      <c r="M67" s="61"/>
      <c r="N67" s="63">
        <f>SUM(N68:N73)</f>
        <v>0</v>
      </c>
      <c r="P67" s="83"/>
    </row>
    <row r="68" spans="1:23" s="5" customFormat="1" ht="33" customHeight="1" x14ac:dyDescent="0.25">
      <c r="A68" s="4"/>
      <c r="B68" s="25" t="s">
        <v>134</v>
      </c>
      <c r="C68" s="25" t="s">
        <v>41</v>
      </c>
      <c r="D68" s="26" t="s">
        <v>135</v>
      </c>
      <c r="E68" s="27" t="s">
        <v>136</v>
      </c>
      <c r="F68" s="28" t="s">
        <v>44</v>
      </c>
      <c r="G68" s="29">
        <v>15.584</v>
      </c>
      <c r="H68" s="30">
        <v>1155</v>
      </c>
      <c r="I68" s="31">
        <f>ROUND(H68*G68,2)</f>
        <v>17999.52</v>
      </c>
      <c r="J68" s="32"/>
      <c r="K68" s="70"/>
      <c r="L68" s="65">
        <v>0</v>
      </c>
      <c r="M68" s="65">
        <f>L69</f>
        <v>22.077899999999996</v>
      </c>
      <c r="N68" s="68">
        <f>ROUND(L68*H68,2)</f>
        <v>0</v>
      </c>
      <c r="O68" s="87">
        <v>0</v>
      </c>
      <c r="P68" s="77">
        <f>O68*L68</f>
        <v>0</v>
      </c>
      <c r="Q68" s="91"/>
      <c r="W68" s="95"/>
    </row>
    <row r="69" spans="1:23" s="35" customFormat="1" x14ac:dyDescent="0.25">
      <c r="A69" s="34"/>
      <c r="C69" s="36" t="s">
        <v>46</v>
      </c>
      <c r="D69" s="37" t="s">
        <v>1</v>
      </c>
      <c r="E69" s="38" t="s">
        <v>137</v>
      </c>
      <c r="G69" s="39">
        <v>15.584</v>
      </c>
      <c r="H69" s="40"/>
      <c r="K69" s="74"/>
      <c r="L69" s="81">
        <f>(34*1.2*0.3-34*2*3.14*0.075*0.075)*2</f>
        <v>22.077899999999996</v>
      </c>
      <c r="M69" s="64" t="s">
        <v>286</v>
      </c>
      <c r="N69" s="64"/>
      <c r="P69" s="39"/>
    </row>
    <row r="70" spans="1:23" s="5" customFormat="1" ht="37.9" customHeight="1" x14ac:dyDescent="0.25">
      <c r="A70" s="4"/>
      <c r="B70" s="25" t="s">
        <v>138</v>
      </c>
      <c r="C70" s="25" t="s">
        <v>41</v>
      </c>
      <c r="D70" s="26" t="s">
        <v>139</v>
      </c>
      <c r="E70" s="27" t="s">
        <v>140</v>
      </c>
      <c r="F70" s="28" t="s">
        <v>141</v>
      </c>
      <c r="G70" s="29">
        <v>96</v>
      </c>
      <c r="H70" s="30">
        <v>210</v>
      </c>
      <c r="I70" s="31">
        <f>ROUND(H70*G70,2)</f>
        <v>20160</v>
      </c>
      <c r="J70" s="32"/>
      <c r="K70" s="70"/>
      <c r="L70" s="65">
        <v>0</v>
      </c>
      <c r="M70" s="65">
        <f>L71</f>
        <v>136</v>
      </c>
      <c r="N70" s="68">
        <f>ROUND(L70*H70,2)</f>
        <v>0</v>
      </c>
      <c r="O70" s="87">
        <v>0.27561000000000002</v>
      </c>
      <c r="P70" s="77">
        <f>O70*L70</f>
        <v>0</v>
      </c>
      <c r="Q70" s="91"/>
      <c r="W70" s="95"/>
    </row>
    <row r="71" spans="1:23" s="35" customFormat="1" ht="15" customHeight="1" x14ac:dyDescent="0.25">
      <c r="A71" s="34"/>
      <c r="C71" s="36" t="s">
        <v>46</v>
      </c>
      <c r="D71" s="37" t="s">
        <v>1</v>
      </c>
      <c r="E71" s="38" t="s">
        <v>142</v>
      </c>
      <c r="G71" s="39">
        <v>96</v>
      </c>
      <c r="H71" s="40"/>
      <c r="K71" s="74"/>
      <c r="L71" s="81">
        <f>34*4</f>
        <v>136</v>
      </c>
      <c r="M71" s="112" t="s">
        <v>287</v>
      </c>
      <c r="N71" s="113"/>
      <c r="P71" s="39"/>
    </row>
    <row r="72" spans="1:23" s="5" customFormat="1" ht="24.2" customHeight="1" x14ac:dyDescent="0.25">
      <c r="A72" s="4"/>
      <c r="B72" s="25" t="s">
        <v>143</v>
      </c>
      <c r="C72" s="25" t="s">
        <v>41</v>
      </c>
      <c r="D72" s="26" t="s">
        <v>144</v>
      </c>
      <c r="E72" s="27" t="s">
        <v>145</v>
      </c>
      <c r="F72" s="28" t="s">
        <v>141</v>
      </c>
      <c r="G72" s="29">
        <v>46.6</v>
      </c>
      <c r="H72" s="30">
        <v>33</v>
      </c>
      <c r="I72" s="31">
        <f>ROUND(H72*G72,2)</f>
        <v>1537.8</v>
      </c>
      <c r="J72" s="32"/>
      <c r="K72" s="70"/>
      <c r="L72" s="65">
        <v>0</v>
      </c>
      <c r="M72" s="65">
        <f>L72+G72</f>
        <v>46.6</v>
      </c>
      <c r="N72" s="68">
        <f>ROUND(L72*H72,2)</f>
        <v>0</v>
      </c>
      <c r="P72" s="77"/>
    </row>
    <row r="73" spans="1:23" s="35" customFormat="1" x14ac:dyDescent="0.25">
      <c r="A73" s="34"/>
      <c r="C73" s="36" t="s">
        <v>46</v>
      </c>
      <c r="D73" s="37" t="s">
        <v>1</v>
      </c>
      <c r="E73" s="38" t="s">
        <v>4</v>
      </c>
      <c r="G73" s="39">
        <v>46.6</v>
      </c>
      <c r="H73" s="40"/>
      <c r="K73" s="74"/>
      <c r="L73" s="81"/>
      <c r="M73" s="64"/>
      <c r="N73" s="69"/>
      <c r="P73" s="39"/>
    </row>
    <row r="74" spans="1:23" s="18" customFormat="1" ht="22.9" customHeight="1" x14ac:dyDescent="0.2">
      <c r="A74" s="17"/>
      <c r="C74" s="19" t="s">
        <v>36</v>
      </c>
      <c r="D74" s="23" t="s">
        <v>45</v>
      </c>
      <c r="E74" s="23" t="s">
        <v>146</v>
      </c>
      <c r="H74" s="21"/>
      <c r="I74" s="24">
        <f>SUM(I75:I82)</f>
        <v>13445.98</v>
      </c>
      <c r="K74" s="73"/>
      <c r="L74" s="80"/>
      <c r="M74" s="61"/>
      <c r="N74" s="63">
        <f>SUM(N75:N82)</f>
        <v>2866.92</v>
      </c>
      <c r="P74" s="83"/>
    </row>
    <row r="75" spans="1:23" s="5" customFormat="1" ht="24.2" customHeight="1" x14ac:dyDescent="0.25">
      <c r="A75" s="4"/>
      <c r="B75" s="25" t="s">
        <v>147</v>
      </c>
      <c r="C75" s="25" t="s">
        <v>41</v>
      </c>
      <c r="D75" s="26" t="s">
        <v>148</v>
      </c>
      <c r="E75" s="27" t="s">
        <v>149</v>
      </c>
      <c r="F75" s="28" t="s">
        <v>44</v>
      </c>
      <c r="G75" s="29">
        <v>12.335000000000001</v>
      </c>
      <c r="H75" s="30">
        <v>985</v>
      </c>
      <c r="I75" s="31">
        <f>ROUND(H75*G75,2)</f>
        <v>12149.98</v>
      </c>
      <c r="J75" s="32"/>
      <c r="K75" s="70"/>
      <c r="L75" s="65">
        <f>M75-G75</f>
        <v>2.4719999999999978</v>
      </c>
      <c r="M75" s="65">
        <f>L77+L78+G76+G79</f>
        <v>14.806999999999999</v>
      </c>
      <c r="N75" s="68">
        <f>ROUND(L75*H75,2)</f>
        <v>2434.92</v>
      </c>
      <c r="O75" s="87">
        <v>0</v>
      </c>
      <c r="P75" s="77">
        <f>O75*L75</f>
        <v>0</v>
      </c>
      <c r="Q75" s="91" t="s">
        <v>310</v>
      </c>
    </row>
    <row r="76" spans="1:23" s="35" customFormat="1" x14ac:dyDescent="0.25">
      <c r="A76" s="34"/>
      <c r="C76" s="36" t="s">
        <v>46</v>
      </c>
      <c r="D76" s="37" t="s">
        <v>1</v>
      </c>
      <c r="E76" s="38" t="s">
        <v>150</v>
      </c>
      <c r="G76" s="39">
        <v>0.39200000000000002</v>
      </c>
      <c r="H76" s="40"/>
      <c r="K76" s="74"/>
      <c r="L76" s="81"/>
      <c r="M76" s="64"/>
      <c r="N76" s="69"/>
      <c r="P76" s="39"/>
      <c r="Q76" s="90"/>
    </row>
    <row r="77" spans="1:23" s="35" customFormat="1" x14ac:dyDescent="0.25">
      <c r="A77" s="34"/>
      <c r="C77" s="36" t="s">
        <v>46</v>
      </c>
      <c r="D77" s="37" t="s">
        <v>1</v>
      </c>
      <c r="E77" s="38" t="s">
        <v>151</v>
      </c>
      <c r="G77" s="39">
        <v>0.216</v>
      </c>
      <c r="H77" s="40"/>
      <c r="K77" s="74"/>
      <c r="L77" s="81">
        <f>8*0.6*0.6*0.1</f>
        <v>0.28799999999999998</v>
      </c>
      <c r="M77" s="64" t="s">
        <v>296</v>
      </c>
      <c r="N77" s="69"/>
      <c r="P77" s="86"/>
      <c r="Q77" s="90"/>
    </row>
    <row r="78" spans="1:23" s="35" customFormat="1" ht="15" customHeight="1" x14ac:dyDescent="0.25">
      <c r="A78" s="34"/>
      <c r="C78" s="36" t="s">
        <v>46</v>
      </c>
      <c r="D78" s="37" t="s">
        <v>1</v>
      </c>
      <c r="E78" s="38" t="s">
        <v>152</v>
      </c>
      <c r="G78" s="39">
        <v>5.8319999999999999</v>
      </c>
      <c r="H78" s="40"/>
      <c r="K78" s="85"/>
      <c r="L78" s="81">
        <f xml:space="preserve"> 34.3*1.6*0.15</f>
        <v>8.2319999999999993</v>
      </c>
      <c r="M78" s="64" t="s">
        <v>297</v>
      </c>
      <c r="N78" s="64"/>
      <c r="P78" s="39"/>
      <c r="Q78" s="90"/>
    </row>
    <row r="79" spans="1:23" s="35" customFormat="1" x14ac:dyDescent="0.25">
      <c r="A79" s="34"/>
      <c r="C79" s="36" t="s">
        <v>46</v>
      </c>
      <c r="D79" s="37" t="s">
        <v>1</v>
      </c>
      <c r="E79" s="38" t="s">
        <v>153</v>
      </c>
      <c r="G79" s="39">
        <v>5.8949999999999996</v>
      </c>
      <c r="H79" s="40"/>
      <c r="K79" s="85"/>
      <c r="L79" s="106"/>
      <c r="M79" s="64"/>
      <c r="N79" s="69"/>
      <c r="P79" s="39"/>
      <c r="Q79" s="90"/>
    </row>
    <row r="80" spans="1:23" s="42" customFormat="1" x14ac:dyDescent="0.25">
      <c r="A80" s="41"/>
      <c r="C80" s="36" t="s">
        <v>46</v>
      </c>
      <c r="D80" s="43" t="s">
        <v>1</v>
      </c>
      <c r="E80" s="44" t="s">
        <v>52</v>
      </c>
      <c r="G80" s="45">
        <v>12.335000000000001</v>
      </c>
      <c r="H80" s="46"/>
      <c r="K80" s="75"/>
      <c r="L80" s="105">
        <f>G76+L77+L78+G79</f>
        <v>14.806999999999999</v>
      </c>
      <c r="M80" s="98"/>
      <c r="N80" s="100"/>
      <c r="P80" s="45"/>
      <c r="Q80" s="92"/>
    </row>
    <row r="81" spans="1:17" s="5" customFormat="1" ht="24.2" customHeight="1" x14ac:dyDescent="0.25">
      <c r="A81" s="4"/>
      <c r="B81" s="25" t="s">
        <v>154</v>
      </c>
      <c r="C81" s="25" t="s">
        <v>41</v>
      </c>
      <c r="D81" s="26" t="s">
        <v>155</v>
      </c>
      <c r="E81" s="27" t="s">
        <v>156</v>
      </c>
      <c r="F81" s="28" t="s">
        <v>44</v>
      </c>
      <c r="G81" s="29">
        <v>0.32400000000000001</v>
      </c>
      <c r="H81" s="30">
        <v>4000</v>
      </c>
      <c r="I81" s="31">
        <f>ROUND(H81*G81,2)</f>
        <v>1296</v>
      </c>
      <c r="J81" s="32"/>
      <c r="K81" s="70"/>
      <c r="L81" s="65">
        <f>M81-G81</f>
        <v>0.10799999999999998</v>
      </c>
      <c r="M81" s="65">
        <f>L82</f>
        <v>0.432</v>
      </c>
      <c r="N81" s="68">
        <f>ROUND(L81*H81,2)</f>
        <v>432</v>
      </c>
      <c r="O81" s="87">
        <v>0</v>
      </c>
      <c r="P81" s="77">
        <f>O81*L81</f>
        <v>0</v>
      </c>
      <c r="Q81" s="91" t="s">
        <v>310</v>
      </c>
    </row>
    <row r="82" spans="1:17" s="35" customFormat="1" ht="15" customHeight="1" x14ac:dyDescent="0.25">
      <c r="A82" s="34"/>
      <c r="C82" s="36" t="s">
        <v>46</v>
      </c>
      <c r="D82" s="37" t="s">
        <v>1</v>
      </c>
      <c r="E82" s="38" t="s">
        <v>157</v>
      </c>
      <c r="G82" s="39">
        <v>0.32400000000000001</v>
      </c>
      <c r="H82" s="40"/>
      <c r="K82" s="74"/>
      <c r="L82" s="81">
        <f>8*0.6*0.6*0.15</f>
        <v>0.432</v>
      </c>
      <c r="M82" s="112" t="s">
        <v>288</v>
      </c>
      <c r="N82" s="113"/>
      <c r="P82" s="39"/>
      <c r="Q82" s="90"/>
    </row>
    <row r="83" spans="1:17" s="18" customFormat="1" ht="22.9" customHeight="1" x14ac:dyDescent="0.2">
      <c r="A83" s="17"/>
      <c r="C83" s="19" t="s">
        <v>36</v>
      </c>
      <c r="D83" s="23" t="s">
        <v>76</v>
      </c>
      <c r="E83" s="23" t="s">
        <v>158</v>
      </c>
      <c r="H83" s="21"/>
      <c r="I83" s="24">
        <f>SUM(I84:I137)</f>
        <v>251096.04</v>
      </c>
      <c r="K83" s="73"/>
      <c r="L83" s="80"/>
      <c r="M83" s="61"/>
      <c r="N83" s="63">
        <f>SUM(N84:N137)</f>
        <v>68631.5</v>
      </c>
      <c r="P83" s="83"/>
      <c r="Q83" s="94"/>
    </row>
    <row r="84" spans="1:17" s="5" customFormat="1" ht="24.2" customHeight="1" x14ac:dyDescent="0.25">
      <c r="A84" s="4"/>
      <c r="B84" s="25" t="s">
        <v>159</v>
      </c>
      <c r="C84" s="25" t="s">
        <v>41</v>
      </c>
      <c r="D84" s="26" t="s">
        <v>160</v>
      </c>
      <c r="E84" s="27" t="s">
        <v>161</v>
      </c>
      <c r="F84" s="28" t="s">
        <v>141</v>
      </c>
      <c r="G84" s="29">
        <v>46.6</v>
      </c>
      <c r="H84" s="30">
        <v>190</v>
      </c>
      <c r="I84" s="31">
        <f>ROUND(H84*G84,2)</f>
        <v>8854</v>
      </c>
      <c r="J84" s="32"/>
      <c r="K84" s="70"/>
      <c r="L84" s="65">
        <f>M84-G84</f>
        <v>51.999999999999993</v>
      </c>
      <c r="M84" s="65">
        <f>L85+G86</f>
        <v>98.6</v>
      </c>
      <c r="N84" s="68">
        <f>ROUND(L84*H84,2)</f>
        <v>9880</v>
      </c>
      <c r="O84" s="87">
        <v>1.0000000000000001E-5</v>
      </c>
      <c r="P84" s="77">
        <f>O84*L84</f>
        <v>5.1999999999999995E-4</v>
      </c>
      <c r="Q84" s="91" t="s">
        <v>310</v>
      </c>
    </row>
    <row r="85" spans="1:17" s="35" customFormat="1" ht="22.5" x14ac:dyDescent="0.25">
      <c r="A85" s="34"/>
      <c r="C85" s="36" t="s">
        <v>46</v>
      </c>
      <c r="D85" s="37" t="s">
        <v>1</v>
      </c>
      <c r="E85" s="38" t="s">
        <v>162</v>
      </c>
      <c r="G85" s="39">
        <v>41</v>
      </c>
      <c r="H85" s="40"/>
      <c r="K85" s="74"/>
      <c r="L85" s="81">
        <f>5.5+1.3+10.5+6.5+6.5+10.7+6+6+40</f>
        <v>93</v>
      </c>
      <c r="M85" s="64" t="s">
        <v>317</v>
      </c>
      <c r="N85" s="69"/>
      <c r="P85" s="86"/>
    </row>
    <row r="86" spans="1:17" s="35" customFormat="1" x14ac:dyDescent="0.25">
      <c r="A86" s="34"/>
      <c r="C86" s="36" t="s">
        <v>46</v>
      </c>
      <c r="D86" s="37" t="s">
        <v>1</v>
      </c>
      <c r="E86" s="38" t="s">
        <v>163</v>
      </c>
      <c r="G86" s="39">
        <v>5.6</v>
      </c>
      <c r="H86" s="40"/>
      <c r="K86" s="74"/>
      <c r="L86" s="81"/>
      <c r="M86" s="64"/>
      <c r="N86" s="69"/>
      <c r="P86" s="39"/>
    </row>
    <row r="87" spans="1:17" s="42" customFormat="1" x14ac:dyDescent="0.25">
      <c r="A87" s="41"/>
      <c r="C87" s="36" t="s">
        <v>46</v>
      </c>
      <c r="D87" s="43" t="s">
        <v>4</v>
      </c>
      <c r="E87" s="44" t="s">
        <v>52</v>
      </c>
      <c r="G87" s="45">
        <v>46.6</v>
      </c>
      <c r="H87" s="46"/>
      <c r="K87" s="75"/>
      <c r="L87" s="105">
        <f>L85+G86</f>
        <v>98.6</v>
      </c>
      <c r="M87" s="98"/>
      <c r="N87" s="100"/>
      <c r="P87" s="45"/>
    </row>
    <row r="88" spans="1:17" s="5" customFormat="1" ht="21.75" customHeight="1" x14ac:dyDescent="0.25">
      <c r="A88" s="4"/>
      <c r="B88" s="52" t="s">
        <v>164</v>
      </c>
      <c r="C88" s="52" t="s">
        <v>98</v>
      </c>
      <c r="D88" s="53" t="s">
        <v>165</v>
      </c>
      <c r="E88" s="54" t="s">
        <v>166</v>
      </c>
      <c r="F88" s="55" t="s">
        <v>141</v>
      </c>
      <c r="G88" s="56">
        <v>47.298999999999999</v>
      </c>
      <c r="H88" s="57">
        <v>436.8</v>
      </c>
      <c r="I88" s="58">
        <f>ROUND(H88*G88,2)</f>
        <v>20660.2</v>
      </c>
      <c r="J88" s="59"/>
      <c r="K88" s="70"/>
      <c r="L88" s="65">
        <f>M88-G88</f>
        <v>52.77999999999998</v>
      </c>
      <c r="M88" s="65">
        <f>L89</f>
        <v>100.07899999999998</v>
      </c>
      <c r="N88" s="68">
        <f>ROUND(L88*H88,2)</f>
        <v>23054.3</v>
      </c>
      <c r="O88" s="87">
        <v>2.3E-3</v>
      </c>
      <c r="P88" s="77">
        <f>O88*L88</f>
        <v>0.12139399999999995</v>
      </c>
      <c r="Q88" s="91" t="s">
        <v>310</v>
      </c>
    </row>
    <row r="89" spans="1:17" s="35" customFormat="1" x14ac:dyDescent="0.25">
      <c r="A89" s="34"/>
      <c r="C89" s="36" t="s">
        <v>46</v>
      </c>
      <c r="E89" s="38" t="s">
        <v>167</v>
      </c>
      <c r="G89" s="39">
        <v>47.298999999999999</v>
      </c>
      <c r="H89" s="40"/>
      <c r="K89" s="74"/>
      <c r="L89" s="81">
        <f>98.6*1.015</f>
        <v>100.07899999999998</v>
      </c>
      <c r="M89" s="64" t="s">
        <v>318</v>
      </c>
      <c r="N89" s="69"/>
      <c r="P89" s="39"/>
    </row>
    <row r="90" spans="1:17" s="5" customFormat="1" ht="24.2" customHeight="1" x14ac:dyDescent="0.25">
      <c r="A90" s="4"/>
      <c r="B90" s="25" t="s">
        <v>168</v>
      </c>
      <c r="C90" s="25" t="s">
        <v>41</v>
      </c>
      <c r="D90" s="26" t="s">
        <v>169</v>
      </c>
      <c r="E90" s="27" t="s">
        <v>170</v>
      </c>
      <c r="F90" s="28" t="s">
        <v>171</v>
      </c>
      <c r="G90" s="29">
        <v>15</v>
      </c>
      <c r="H90" s="30">
        <v>260</v>
      </c>
      <c r="I90" s="31">
        <f>ROUND(H90*G90,2)</f>
        <v>3900</v>
      </c>
      <c r="J90" s="32"/>
      <c r="K90" s="70"/>
      <c r="L90" s="65">
        <f>M90-G90</f>
        <v>6</v>
      </c>
      <c r="M90" s="65">
        <f>L91+G92</f>
        <v>21</v>
      </c>
      <c r="N90" s="68">
        <f>ROUND(L90*H90,2)</f>
        <v>1560</v>
      </c>
      <c r="O90" s="87">
        <v>8.0000000000000007E-5</v>
      </c>
      <c r="P90" s="77">
        <f>O90*L90</f>
        <v>4.8000000000000007E-4</v>
      </c>
    </row>
    <row r="91" spans="1:17" s="35" customFormat="1" x14ac:dyDescent="0.25">
      <c r="A91" s="34"/>
      <c r="C91" s="36" t="s">
        <v>46</v>
      </c>
      <c r="D91" s="37" t="s">
        <v>1</v>
      </c>
      <c r="E91" s="38" t="s">
        <v>172</v>
      </c>
      <c r="G91" s="39">
        <v>7</v>
      </c>
      <c r="H91" s="40"/>
      <c r="K91" s="74"/>
      <c r="L91" s="81">
        <f>7+6</f>
        <v>13</v>
      </c>
      <c r="M91" s="123" t="s">
        <v>295</v>
      </c>
      <c r="N91" s="121"/>
      <c r="P91" s="39"/>
    </row>
    <row r="92" spans="1:17" s="35" customFormat="1" x14ac:dyDescent="0.25">
      <c r="A92" s="34"/>
      <c r="C92" s="36" t="s">
        <v>46</v>
      </c>
      <c r="D92" s="37" t="s">
        <v>1</v>
      </c>
      <c r="E92" s="38" t="s">
        <v>173</v>
      </c>
      <c r="G92" s="39">
        <v>8</v>
      </c>
      <c r="H92" s="40"/>
      <c r="K92" s="74"/>
      <c r="L92" s="81"/>
      <c r="M92" s="64"/>
      <c r="N92" s="69"/>
      <c r="P92" s="39"/>
    </row>
    <row r="93" spans="1:17" s="42" customFormat="1" x14ac:dyDescent="0.25">
      <c r="A93" s="41"/>
      <c r="C93" s="36" t="s">
        <v>46</v>
      </c>
      <c r="D93" s="43" t="s">
        <v>1</v>
      </c>
      <c r="E93" s="44" t="s">
        <v>52</v>
      </c>
      <c r="G93" s="45">
        <v>15</v>
      </c>
      <c r="H93" s="46"/>
      <c r="K93" s="75"/>
      <c r="L93" s="105">
        <f>L91+G92</f>
        <v>21</v>
      </c>
      <c r="M93" s="98"/>
      <c r="N93" s="100"/>
      <c r="P93" s="45"/>
    </row>
    <row r="94" spans="1:17" s="5" customFormat="1" ht="16.5" customHeight="1" x14ac:dyDescent="0.25">
      <c r="A94" s="4"/>
      <c r="B94" s="52" t="s">
        <v>174</v>
      </c>
      <c r="C94" s="52" t="s">
        <v>98</v>
      </c>
      <c r="D94" s="53" t="s">
        <v>175</v>
      </c>
      <c r="E94" s="54" t="s">
        <v>176</v>
      </c>
      <c r="F94" s="55" t="s">
        <v>171</v>
      </c>
      <c r="G94" s="56">
        <v>15</v>
      </c>
      <c r="H94" s="57">
        <v>876</v>
      </c>
      <c r="I94" s="58">
        <f>ROUND(H94*G94,2)</f>
        <v>13140</v>
      </c>
      <c r="J94" s="59"/>
      <c r="K94" s="70"/>
      <c r="L94" s="65">
        <f>M94-G94</f>
        <v>6</v>
      </c>
      <c r="M94" s="65">
        <v>21</v>
      </c>
      <c r="N94" s="68">
        <f>ROUND(L94*H94,2)</f>
        <v>5256</v>
      </c>
      <c r="O94" s="87">
        <v>1.48E-3</v>
      </c>
      <c r="P94" s="77">
        <f>O94*L94</f>
        <v>8.879999999999999E-3</v>
      </c>
      <c r="Q94" s="91" t="s">
        <v>310</v>
      </c>
    </row>
    <row r="95" spans="1:17" s="5" customFormat="1" ht="24.2" customHeight="1" x14ac:dyDescent="0.25">
      <c r="A95" s="4"/>
      <c r="B95" s="25" t="s">
        <v>177</v>
      </c>
      <c r="C95" s="25" t="s">
        <v>41</v>
      </c>
      <c r="D95" s="26" t="s">
        <v>178</v>
      </c>
      <c r="E95" s="27" t="s">
        <v>179</v>
      </c>
      <c r="F95" s="28" t="s">
        <v>171</v>
      </c>
      <c r="G95" s="29">
        <v>1</v>
      </c>
      <c r="H95" s="30">
        <v>460</v>
      </c>
      <c r="I95" s="31">
        <f>ROUND(H95*G95,2)</f>
        <v>460</v>
      </c>
      <c r="J95" s="32"/>
      <c r="K95" s="70"/>
      <c r="L95" s="65">
        <v>0</v>
      </c>
      <c r="M95" s="65">
        <f>L95+G95</f>
        <v>1</v>
      </c>
      <c r="N95" s="68">
        <f>ROUND(L95*H95,2)</f>
        <v>0</v>
      </c>
      <c r="P95" s="77"/>
      <c r="Q95" s="91"/>
    </row>
    <row r="96" spans="1:17" s="35" customFormat="1" x14ac:dyDescent="0.25">
      <c r="A96" s="34"/>
      <c r="C96" s="36" t="s">
        <v>46</v>
      </c>
      <c r="D96" s="37" t="s">
        <v>1</v>
      </c>
      <c r="E96" s="38" t="s">
        <v>180</v>
      </c>
      <c r="G96" s="39">
        <v>1</v>
      </c>
      <c r="H96" s="40"/>
      <c r="K96" s="74"/>
      <c r="L96" s="81"/>
      <c r="M96" s="64"/>
      <c r="N96" s="69"/>
      <c r="P96" s="39"/>
      <c r="Q96" s="90"/>
    </row>
    <row r="97" spans="1:17" s="5" customFormat="1" ht="21.75" customHeight="1" x14ac:dyDescent="0.25">
      <c r="A97" s="4"/>
      <c r="B97" s="52" t="s">
        <v>181</v>
      </c>
      <c r="C97" s="52" t="s">
        <v>98</v>
      </c>
      <c r="D97" s="53" t="s">
        <v>182</v>
      </c>
      <c r="E97" s="54" t="s">
        <v>183</v>
      </c>
      <c r="F97" s="55" t="s">
        <v>171</v>
      </c>
      <c r="G97" s="56">
        <v>1</v>
      </c>
      <c r="H97" s="57">
        <v>370.8</v>
      </c>
      <c r="I97" s="58">
        <f>ROUND(H97*G97,2)</f>
        <v>370.8</v>
      </c>
      <c r="J97" s="59"/>
      <c r="K97" s="70"/>
      <c r="L97" s="65">
        <v>0</v>
      </c>
      <c r="M97" s="65">
        <f>L97+G97</f>
        <v>1</v>
      </c>
      <c r="N97" s="68">
        <f>ROUND(L97*H97,2)</f>
        <v>0</v>
      </c>
      <c r="P97" s="77"/>
      <c r="Q97" s="91"/>
    </row>
    <row r="98" spans="1:17" s="5" customFormat="1" ht="24.2" customHeight="1" x14ac:dyDescent="0.25">
      <c r="A98" s="4"/>
      <c r="B98" s="25" t="s">
        <v>184</v>
      </c>
      <c r="C98" s="25" t="s">
        <v>41</v>
      </c>
      <c r="D98" s="26" t="s">
        <v>185</v>
      </c>
      <c r="E98" s="27" t="s">
        <v>186</v>
      </c>
      <c r="F98" s="28" t="s">
        <v>171</v>
      </c>
      <c r="G98" s="29">
        <v>8</v>
      </c>
      <c r="H98" s="30">
        <v>260</v>
      </c>
      <c r="I98" s="31">
        <f>ROUND(H98*G98,2)</f>
        <v>2080</v>
      </c>
      <c r="J98" s="32"/>
      <c r="K98" s="70"/>
      <c r="L98" s="65">
        <f>M98-G98</f>
        <v>2</v>
      </c>
      <c r="M98" s="65">
        <f>L99</f>
        <v>10</v>
      </c>
      <c r="N98" s="68">
        <f>ROUND(L98*H98,2)</f>
        <v>520</v>
      </c>
      <c r="O98" s="87">
        <v>8.0000000000000007E-5</v>
      </c>
      <c r="P98" s="77">
        <f>O98*L98</f>
        <v>1.6000000000000001E-4</v>
      </c>
      <c r="Q98" s="91" t="s">
        <v>310</v>
      </c>
    </row>
    <row r="99" spans="1:17" s="35" customFormat="1" x14ac:dyDescent="0.25">
      <c r="A99" s="34"/>
      <c r="C99" s="36" t="s">
        <v>46</v>
      </c>
      <c r="D99" s="37" t="s">
        <v>1</v>
      </c>
      <c r="E99" s="38" t="s">
        <v>187</v>
      </c>
      <c r="G99" s="39">
        <v>8</v>
      </c>
      <c r="H99" s="40"/>
      <c r="K99" s="74"/>
      <c r="L99" s="81">
        <v>10</v>
      </c>
      <c r="M99" s="64" t="s">
        <v>289</v>
      </c>
      <c r="N99" s="69"/>
      <c r="P99" s="39"/>
      <c r="Q99" s="90"/>
    </row>
    <row r="100" spans="1:17" s="5" customFormat="1" ht="16.5" customHeight="1" x14ac:dyDescent="0.25">
      <c r="A100" s="4"/>
      <c r="B100" s="52" t="s">
        <v>188</v>
      </c>
      <c r="C100" s="52" t="s">
        <v>98</v>
      </c>
      <c r="D100" s="53" t="s">
        <v>189</v>
      </c>
      <c r="E100" s="54" t="s">
        <v>190</v>
      </c>
      <c r="F100" s="55" t="s">
        <v>171</v>
      </c>
      <c r="G100" s="56">
        <v>8</v>
      </c>
      <c r="H100" s="57">
        <v>303.60000000000002</v>
      </c>
      <c r="I100" s="58">
        <f>ROUND(H100*G100,2)</f>
        <v>2428.8000000000002</v>
      </c>
      <c r="J100" s="59"/>
      <c r="K100" s="70"/>
      <c r="L100" s="65">
        <f>M100-G100</f>
        <v>2</v>
      </c>
      <c r="M100" s="65">
        <v>10</v>
      </c>
      <c r="N100" s="68">
        <f>ROUND(L100*H100,2)</f>
        <v>607.20000000000005</v>
      </c>
      <c r="O100" s="87">
        <v>8.0000000000000004E-4</v>
      </c>
      <c r="P100" s="77">
        <f t="shared" ref="P100:P101" si="2">O100*L100</f>
        <v>1.6000000000000001E-3</v>
      </c>
      <c r="Q100" s="91" t="s">
        <v>310</v>
      </c>
    </row>
    <row r="101" spans="1:17" s="5" customFormat="1" ht="24.2" customHeight="1" x14ac:dyDescent="0.25">
      <c r="A101" s="4"/>
      <c r="B101" s="25" t="s">
        <v>191</v>
      </c>
      <c r="C101" s="25" t="s">
        <v>41</v>
      </c>
      <c r="D101" s="26" t="s">
        <v>192</v>
      </c>
      <c r="E101" s="27" t="s">
        <v>193</v>
      </c>
      <c r="F101" s="28" t="s">
        <v>171</v>
      </c>
      <c r="G101" s="29">
        <v>12</v>
      </c>
      <c r="H101" s="30">
        <v>230</v>
      </c>
      <c r="I101" s="31">
        <f>ROUND(H101*G101,2)</f>
        <v>2760</v>
      </c>
      <c r="J101" s="32"/>
      <c r="K101" s="70"/>
      <c r="L101" s="65">
        <f>M101-G101</f>
        <v>2</v>
      </c>
      <c r="M101" s="65">
        <f>L102</f>
        <v>14</v>
      </c>
      <c r="N101" s="68">
        <f>ROUND(L101*H101,2)</f>
        <v>460</v>
      </c>
      <c r="O101" s="87">
        <v>8.0000000000000007E-5</v>
      </c>
      <c r="P101" s="77">
        <f t="shared" si="2"/>
        <v>1.6000000000000001E-4</v>
      </c>
      <c r="Q101" s="91" t="s">
        <v>310</v>
      </c>
    </row>
    <row r="102" spans="1:17" s="35" customFormat="1" x14ac:dyDescent="0.25">
      <c r="A102" s="34"/>
      <c r="C102" s="36" t="s">
        <v>46</v>
      </c>
      <c r="D102" s="37" t="s">
        <v>1</v>
      </c>
      <c r="E102" s="38" t="s">
        <v>194</v>
      </c>
      <c r="G102" s="39">
        <v>12</v>
      </c>
      <c r="H102" s="40"/>
      <c r="K102" s="74"/>
      <c r="L102" s="81">
        <v>14</v>
      </c>
      <c r="M102" s="64" t="s">
        <v>290</v>
      </c>
      <c r="N102" s="69"/>
      <c r="P102" s="39"/>
      <c r="Q102" s="90"/>
    </row>
    <row r="103" spans="1:17" s="5" customFormat="1" ht="16.5" customHeight="1" x14ac:dyDescent="0.25">
      <c r="A103" s="4"/>
      <c r="B103" s="52" t="s">
        <v>195</v>
      </c>
      <c r="C103" s="52" t="s">
        <v>98</v>
      </c>
      <c r="D103" s="53" t="s">
        <v>196</v>
      </c>
      <c r="E103" s="54" t="s">
        <v>197</v>
      </c>
      <c r="F103" s="55" t="s">
        <v>171</v>
      </c>
      <c r="G103" s="56">
        <v>12</v>
      </c>
      <c r="H103" s="57">
        <v>540</v>
      </c>
      <c r="I103" s="58">
        <f>ROUND(H103*G103,2)</f>
        <v>6480</v>
      </c>
      <c r="J103" s="59"/>
      <c r="K103" s="70"/>
      <c r="L103" s="65">
        <f>M103-G103</f>
        <v>2</v>
      </c>
      <c r="M103" s="65">
        <v>14</v>
      </c>
      <c r="N103" s="68">
        <f>ROUND(L103*H103,2)</f>
        <v>1080</v>
      </c>
      <c r="O103" s="87">
        <v>5.0000000000000001E-4</v>
      </c>
      <c r="P103" s="77">
        <f>O103*L103</f>
        <v>1E-3</v>
      </c>
      <c r="Q103" s="91" t="s">
        <v>310</v>
      </c>
    </row>
    <row r="104" spans="1:17" s="5" customFormat="1" ht="24.2" customHeight="1" x14ac:dyDescent="0.25">
      <c r="A104" s="4"/>
      <c r="B104" s="25" t="s">
        <v>198</v>
      </c>
      <c r="C104" s="25" t="s">
        <v>41</v>
      </c>
      <c r="D104" s="26" t="s">
        <v>199</v>
      </c>
      <c r="E104" s="27" t="s">
        <v>200</v>
      </c>
      <c r="F104" s="28" t="s">
        <v>171</v>
      </c>
      <c r="G104" s="29">
        <v>4</v>
      </c>
      <c r="H104" s="30">
        <v>620</v>
      </c>
      <c r="I104" s="31">
        <f>ROUND(H104*G104,2)</f>
        <v>2480</v>
      </c>
      <c r="J104" s="32"/>
      <c r="K104" s="70"/>
      <c r="L104" s="65">
        <v>0</v>
      </c>
      <c r="M104" s="65">
        <f>L104+G104</f>
        <v>4</v>
      </c>
      <c r="N104" s="68">
        <f>ROUND(L104*H104,2)</f>
        <v>0</v>
      </c>
      <c r="P104" s="77"/>
    </row>
    <row r="105" spans="1:17" s="35" customFormat="1" x14ac:dyDescent="0.25">
      <c r="A105" s="34"/>
      <c r="C105" s="36" t="s">
        <v>46</v>
      </c>
      <c r="D105" s="37" t="s">
        <v>1</v>
      </c>
      <c r="E105" s="38" t="s">
        <v>201</v>
      </c>
      <c r="G105" s="39">
        <v>4</v>
      </c>
      <c r="H105" s="40"/>
      <c r="K105" s="74"/>
      <c r="L105" s="81"/>
      <c r="M105" s="64"/>
      <c r="N105" s="69"/>
      <c r="P105" s="39"/>
    </row>
    <row r="106" spans="1:17" s="5" customFormat="1" ht="21.75" customHeight="1" x14ac:dyDescent="0.25">
      <c r="A106" s="4"/>
      <c r="B106" s="52" t="s">
        <v>202</v>
      </c>
      <c r="C106" s="52" t="s">
        <v>98</v>
      </c>
      <c r="D106" s="53" t="s">
        <v>203</v>
      </c>
      <c r="E106" s="54" t="s">
        <v>204</v>
      </c>
      <c r="F106" s="55" t="s">
        <v>171</v>
      </c>
      <c r="G106" s="56">
        <v>2</v>
      </c>
      <c r="H106" s="57">
        <v>2100</v>
      </c>
      <c r="I106" s="58">
        <f>ROUND(H106*G106,2)</f>
        <v>4200</v>
      </c>
      <c r="J106" s="59"/>
      <c r="K106" s="70"/>
      <c r="L106" s="65">
        <v>0</v>
      </c>
      <c r="M106" s="65">
        <f>L106+G106</f>
        <v>2</v>
      </c>
      <c r="N106" s="68">
        <f>ROUND(L106*H106,2)</f>
        <v>0</v>
      </c>
      <c r="P106" s="77"/>
    </row>
    <row r="107" spans="1:17" s="5" customFormat="1" ht="21.75" customHeight="1" x14ac:dyDescent="0.25">
      <c r="A107" s="4"/>
      <c r="B107" s="52" t="s">
        <v>205</v>
      </c>
      <c r="C107" s="52" t="s">
        <v>98</v>
      </c>
      <c r="D107" s="53" t="s">
        <v>206</v>
      </c>
      <c r="E107" s="54" t="s">
        <v>207</v>
      </c>
      <c r="F107" s="55" t="s">
        <v>171</v>
      </c>
      <c r="G107" s="56">
        <v>2</v>
      </c>
      <c r="H107" s="57">
        <v>5208</v>
      </c>
      <c r="I107" s="58">
        <f>ROUND(H107*G107,2)</f>
        <v>10416</v>
      </c>
      <c r="J107" s="59"/>
      <c r="K107" s="70"/>
      <c r="L107" s="65">
        <v>0</v>
      </c>
      <c r="M107" s="65">
        <f>L107+G107</f>
        <v>2</v>
      </c>
      <c r="N107" s="68">
        <f>ROUND(L107*H107,2)</f>
        <v>0</v>
      </c>
      <c r="P107" s="77"/>
    </row>
    <row r="108" spans="1:17" s="5" customFormat="1" ht="24.2" customHeight="1" x14ac:dyDescent="0.25">
      <c r="A108" s="4"/>
      <c r="B108" s="25" t="s">
        <v>208</v>
      </c>
      <c r="C108" s="25" t="s">
        <v>41</v>
      </c>
      <c r="D108" s="26" t="s">
        <v>209</v>
      </c>
      <c r="E108" s="27" t="s">
        <v>210</v>
      </c>
      <c r="F108" s="28" t="s">
        <v>171</v>
      </c>
      <c r="G108" s="29">
        <v>2</v>
      </c>
      <c r="H108" s="30">
        <v>620</v>
      </c>
      <c r="I108" s="31">
        <f>ROUND(H108*G108,2)</f>
        <v>1240</v>
      </c>
      <c r="J108" s="32"/>
      <c r="K108" s="70"/>
      <c r="L108" s="65">
        <v>0</v>
      </c>
      <c r="M108" s="65">
        <f>L108+G108</f>
        <v>2</v>
      </c>
      <c r="N108" s="68">
        <f>ROUND(L108*H108,2)</f>
        <v>0</v>
      </c>
      <c r="P108" s="77"/>
    </row>
    <row r="109" spans="1:17" s="35" customFormat="1" x14ac:dyDescent="0.25">
      <c r="A109" s="34"/>
      <c r="C109" s="36" t="s">
        <v>46</v>
      </c>
      <c r="D109" s="37" t="s">
        <v>1</v>
      </c>
      <c r="E109" s="38" t="s">
        <v>211</v>
      </c>
      <c r="G109" s="39">
        <v>2</v>
      </c>
      <c r="H109" s="40"/>
      <c r="K109" s="74"/>
      <c r="L109" s="81"/>
      <c r="M109" s="64"/>
      <c r="N109" s="69"/>
      <c r="P109" s="39"/>
    </row>
    <row r="110" spans="1:17" s="5" customFormat="1" ht="24.2" customHeight="1" x14ac:dyDescent="0.25">
      <c r="A110" s="4"/>
      <c r="B110" s="52" t="s">
        <v>212</v>
      </c>
      <c r="C110" s="52" t="s">
        <v>98</v>
      </c>
      <c r="D110" s="53" t="s">
        <v>213</v>
      </c>
      <c r="E110" s="54" t="s">
        <v>214</v>
      </c>
      <c r="F110" s="55" t="s">
        <v>171</v>
      </c>
      <c r="G110" s="56">
        <v>2</v>
      </c>
      <c r="H110" s="57">
        <v>622</v>
      </c>
      <c r="I110" s="58">
        <f>ROUND(H110*G110,2)</f>
        <v>1244</v>
      </c>
      <c r="J110" s="59"/>
      <c r="K110" s="70"/>
      <c r="L110" s="65">
        <v>0</v>
      </c>
      <c r="M110" s="65">
        <f>L110+G110</f>
        <v>2</v>
      </c>
      <c r="N110" s="68">
        <f>ROUND(L110*H110,2)</f>
        <v>0</v>
      </c>
      <c r="P110" s="77"/>
    </row>
    <row r="111" spans="1:17" s="5" customFormat="1" ht="24.2" customHeight="1" x14ac:dyDescent="0.25">
      <c r="A111" s="4"/>
      <c r="B111" s="25" t="s">
        <v>215</v>
      </c>
      <c r="C111" s="25" t="s">
        <v>41</v>
      </c>
      <c r="D111" s="26" t="s">
        <v>216</v>
      </c>
      <c r="E111" s="27" t="s">
        <v>217</v>
      </c>
      <c r="F111" s="28" t="s">
        <v>171</v>
      </c>
      <c r="G111" s="29">
        <v>2</v>
      </c>
      <c r="H111" s="30">
        <v>620</v>
      </c>
      <c r="I111" s="31">
        <f>ROUND(H111*G111,2)</f>
        <v>1240</v>
      </c>
      <c r="J111" s="32"/>
      <c r="K111" s="70"/>
      <c r="L111" s="65">
        <v>0</v>
      </c>
      <c r="M111" s="65">
        <f>L111+G111</f>
        <v>2</v>
      </c>
      <c r="N111" s="68">
        <f>ROUND(L111*H111,2)</f>
        <v>0</v>
      </c>
      <c r="P111" s="77"/>
    </row>
    <row r="112" spans="1:17" s="35" customFormat="1" x14ac:dyDescent="0.25">
      <c r="A112" s="34"/>
      <c r="C112" s="36" t="s">
        <v>46</v>
      </c>
      <c r="D112" s="37" t="s">
        <v>1</v>
      </c>
      <c r="E112" s="38" t="s">
        <v>211</v>
      </c>
      <c r="G112" s="39">
        <v>2</v>
      </c>
      <c r="H112" s="40"/>
      <c r="K112" s="74"/>
      <c r="L112" s="81"/>
      <c r="M112" s="64"/>
      <c r="N112" s="69"/>
      <c r="P112" s="39"/>
    </row>
    <row r="113" spans="1:17" s="5" customFormat="1" ht="16.5" customHeight="1" x14ac:dyDescent="0.25">
      <c r="A113" s="4"/>
      <c r="B113" s="52" t="s">
        <v>218</v>
      </c>
      <c r="C113" s="52" t="s">
        <v>98</v>
      </c>
      <c r="D113" s="53" t="s">
        <v>219</v>
      </c>
      <c r="E113" s="54" t="s">
        <v>220</v>
      </c>
      <c r="F113" s="55" t="s">
        <v>171</v>
      </c>
      <c r="G113" s="56">
        <v>2</v>
      </c>
      <c r="H113" s="57">
        <v>7938</v>
      </c>
      <c r="I113" s="58">
        <f>ROUND(H113*G113,2)</f>
        <v>15876</v>
      </c>
      <c r="J113" s="59"/>
      <c r="K113" s="70"/>
      <c r="L113" s="65">
        <v>0</v>
      </c>
      <c r="M113" s="65">
        <f>L113+G113</f>
        <v>2</v>
      </c>
      <c r="N113" s="68">
        <f>ROUND(L113*H113,2)</f>
        <v>0</v>
      </c>
      <c r="P113" s="77"/>
    </row>
    <row r="114" spans="1:17" s="5" customFormat="1" ht="24.2" customHeight="1" x14ac:dyDescent="0.25">
      <c r="A114" s="4"/>
      <c r="B114" s="52" t="s">
        <v>221</v>
      </c>
      <c r="C114" s="52" t="s">
        <v>98</v>
      </c>
      <c r="D114" s="53" t="s">
        <v>222</v>
      </c>
      <c r="E114" s="54" t="s">
        <v>223</v>
      </c>
      <c r="F114" s="55" t="s">
        <v>171</v>
      </c>
      <c r="G114" s="56">
        <v>4</v>
      </c>
      <c r="H114" s="57">
        <v>204</v>
      </c>
      <c r="I114" s="58">
        <f>ROUND(H114*G114,2)</f>
        <v>816</v>
      </c>
      <c r="J114" s="59"/>
      <c r="K114" s="70"/>
      <c r="L114" s="65">
        <v>0</v>
      </c>
      <c r="M114" s="65">
        <f>L114+G114</f>
        <v>4</v>
      </c>
      <c r="N114" s="68">
        <f>ROUND(L114*H114,2)</f>
        <v>0</v>
      </c>
      <c r="P114" s="77"/>
    </row>
    <row r="115" spans="1:17" s="5" customFormat="1" ht="24.2" customHeight="1" x14ac:dyDescent="0.25">
      <c r="A115" s="4"/>
      <c r="B115" s="25" t="s">
        <v>224</v>
      </c>
      <c r="C115" s="25" t="s">
        <v>41</v>
      </c>
      <c r="D115" s="26" t="s">
        <v>225</v>
      </c>
      <c r="E115" s="27" t="s">
        <v>226</v>
      </c>
      <c r="F115" s="28" t="s">
        <v>171</v>
      </c>
      <c r="G115" s="29">
        <v>6</v>
      </c>
      <c r="H115" s="30">
        <v>620</v>
      </c>
      <c r="I115" s="31">
        <f>ROUND(H115*G115,2)</f>
        <v>3720</v>
      </c>
      <c r="J115" s="32"/>
      <c r="K115" s="70"/>
      <c r="L115" s="65">
        <f>M115-G115</f>
        <v>2</v>
      </c>
      <c r="M115" s="65">
        <f>L116</f>
        <v>8</v>
      </c>
      <c r="N115" s="68">
        <f>ROUND(L115*H115,2)</f>
        <v>1240</v>
      </c>
      <c r="O115" s="87">
        <v>0.12422</v>
      </c>
      <c r="P115" s="77">
        <f>O115*L115</f>
        <v>0.24843999999999999</v>
      </c>
      <c r="Q115" s="91" t="s">
        <v>310</v>
      </c>
    </row>
    <row r="116" spans="1:17" s="35" customFormat="1" ht="15" customHeight="1" x14ac:dyDescent="0.25">
      <c r="A116" s="34"/>
      <c r="C116" s="36" t="s">
        <v>46</v>
      </c>
      <c r="D116" s="37" t="s">
        <v>1</v>
      </c>
      <c r="E116" s="38" t="s">
        <v>227</v>
      </c>
      <c r="G116" s="39">
        <v>6</v>
      </c>
      <c r="H116" s="40"/>
      <c r="K116" s="74"/>
      <c r="L116" s="81">
        <f>6+2</f>
        <v>8</v>
      </c>
      <c r="M116" s="112" t="s">
        <v>291</v>
      </c>
      <c r="N116" s="113"/>
      <c r="P116" s="39"/>
      <c r="Q116" s="90"/>
    </row>
    <row r="117" spans="1:17" s="5" customFormat="1" ht="24.2" customHeight="1" x14ac:dyDescent="0.25">
      <c r="A117" s="4"/>
      <c r="B117" s="52" t="s">
        <v>228</v>
      </c>
      <c r="C117" s="52" t="s">
        <v>98</v>
      </c>
      <c r="D117" s="53" t="s">
        <v>229</v>
      </c>
      <c r="E117" s="54" t="s">
        <v>230</v>
      </c>
      <c r="F117" s="55" t="s">
        <v>171</v>
      </c>
      <c r="G117" s="56">
        <v>6</v>
      </c>
      <c r="H117" s="57">
        <v>798</v>
      </c>
      <c r="I117" s="58">
        <f>ROUND(H117*G117,2)</f>
        <v>4788</v>
      </c>
      <c r="J117" s="59"/>
      <c r="K117" s="70"/>
      <c r="L117" s="65">
        <f>M117-G117</f>
        <v>2</v>
      </c>
      <c r="M117" s="65">
        <v>8</v>
      </c>
      <c r="N117" s="68">
        <f>ROUND(L117*H117,2)</f>
        <v>1596</v>
      </c>
      <c r="O117" s="87">
        <v>9.7000000000000003E-2</v>
      </c>
      <c r="P117" s="77">
        <f>O117*L117</f>
        <v>0.19400000000000001</v>
      </c>
      <c r="Q117" s="91" t="s">
        <v>310</v>
      </c>
    </row>
    <row r="118" spans="1:17" s="5" customFormat="1" ht="24.2" customHeight="1" x14ac:dyDescent="0.25">
      <c r="A118" s="4"/>
      <c r="B118" s="25" t="s">
        <v>231</v>
      </c>
      <c r="C118" s="25" t="s">
        <v>41</v>
      </c>
      <c r="D118" s="26" t="s">
        <v>232</v>
      </c>
      <c r="E118" s="27" t="s">
        <v>233</v>
      </c>
      <c r="F118" s="28" t="s">
        <v>171</v>
      </c>
      <c r="G118" s="29">
        <v>2</v>
      </c>
      <c r="H118" s="30">
        <v>620</v>
      </c>
      <c r="I118" s="31">
        <f>ROUND(H118*G118,2)</f>
        <v>1240</v>
      </c>
      <c r="J118" s="32"/>
      <c r="K118" s="70"/>
      <c r="L118" s="65">
        <v>0</v>
      </c>
      <c r="M118" s="65">
        <f>L118+G118</f>
        <v>2</v>
      </c>
      <c r="N118" s="68">
        <f>ROUND(L118*H118,2)</f>
        <v>0</v>
      </c>
      <c r="P118" s="77"/>
      <c r="Q118" s="91"/>
    </row>
    <row r="119" spans="1:17" s="35" customFormat="1" x14ac:dyDescent="0.25">
      <c r="A119" s="34"/>
      <c r="C119" s="36" t="s">
        <v>46</v>
      </c>
      <c r="D119" s="37" t="s">
        <v>1</v>
      </c>
      <c r="E119" s="38" t="s">
        <v>234</v>
      </c>
      <c r="G119" s="39">
        <v>2</v>
      </c>
      <c r="H119" s="40"/>
      <c r="K119" s="74"/>
      <c r="L119" s="81"/>
      <c r="M119" s="64"/>
      <c r="N119" s="69"/>
      <c r="P119" s="39"/>
      <c r="Q119" s="90"/>
    </row>
    <row r="120" spans="1:17" s="5" customFormat="1" ht="24.2" customHeight="1" x14ac:dyDescent="0.25">
      <c r="A120" s="4"/>
      <c r="B120" s="52" t="s">
        <v>235</v>
      </c>
      <c r="C120" s="52" t="s">
        <v>98</v>
      </c>
      <c r="D120" s="53" t="s">
        <v>236</v>
      </c>
      <c r="E120" s="54" t="s">
        <v>237</v>
      </c>
      <c r="F120" s="55" t="s">
        <v>171</v>
      </c>
      <c r="G120" s="56">
        <v>2</v>
      </c>
      <c r="H120" s="57">
        <v>210</v>
      </c>
      <c r="I120" s="58">
        <f>ROUND(H120*G120,2)</f>
        <v>420</v>
      </c>
      <c r="J120" s="59"/>
      <c r="K120" s="70"/>
      <c r="L120" s="65">
        <v>0</v>
      </c>
      <c r="M120" s="65">
        <f>L120+G120</f>
        <v>2</v>
      </c>
      <c r="N120" s="68">
        <f>ROUND(L120*H120,2)</f>
        <v>0</v>
      </c>
      <c r="P120" s="77"/>
      <c r="Q120" s="91"/>
    </row>
    <row r="121" spans="1:17" s="5" customFormat="1" ht="24.2" customHeight="1" x14ac:dyDescent="0.25">
      <c r="A121" s="4"/>
      <c r="B121" s="25" t="s">
        <v>238</v>
      </c>
      <c r="C121" s="25" t="s">
        <v>41</v>
      </c>
      <c r="D121" s="26" t="s">
        <v>239</v>
      </c>
      <c r="E121" s="27" t="s">
        <v>240</v>
      </c>
      <c r="F121" s="28" t="s">
        <v>171</v>
      </c>
      <c r="G121" s="29">
        <v>4</v>
      </c>
      <c r="H121" s="30">
        <v>620</v>
      </c>
      <c r="I121" s="31">
        <f>ROUND(H121*G121,2)</f>
        <v>2480</v>
      </c>
      <c r="J121" s="32"/>
      <c r="K121" s="70"/>
      <c r="L121" s="65">
        <f>M121-G121</f>
        <v>2</v>
      </c>
      <c r="M121" s="65">
        <f>L122</f>
        <v>6</v>
      </c>
      <c r="N121" s="68">
        <f>ROUND(L121*H121,2)</f>
        <v>1240</v>
      </c>
      <c r="O121" s="87">
        <v>2.972E-2</v>
      </c>
      <c r="P121" s="77">
        <f>O121*L121</f>
        <v>5.944E-2</v>
      </c>
      <c r="Q121" s="91" t="s">
        <v>310</v>
      </c>
    </row>
    <row r="122" spans="1:17" s="35" customFormat="1" ht="15" customHeight="1" x14ac:dyDescent="0.25">
      <c r="A122" s="34"/>
      <c r="C122" s="36" t="s">
        <v>46</v>
      </c>
      <c r="D122" s="37" t="s">
        <v>1</v>
      </c>
      <c r="E122" s="38" t="s">
        <v>241</v>
      </c>
      <c r="G122" s="39">
        <v>4</v>
      </c>
      <c r="H122" s="40"/>
      <c r="K122" s="74"/>
      <c r="L122" s="81">
        <f>4+2</f>
        <v>6</v>
      </c>
      <c r="M122" s="112" t="s">
        <v>292</v>
      </c>
      <c r="N122" s="113"/>
      <c r="P122" s="39"/>
      <c r="Q122" s="90"/>
    </row>
    <row r="123" spans="1:17" s="5" customFormat="1" ht="21.75" customHeight="1" x14ac:dyDescent="0.25">
      <c r="A123" s="4"/>
      <c r="B123" s="52" t="s">
        <v>242</v>
      </c>
      <c r="C123" s="52" t="s">
        <v>98</v>
      </c>
      <c r="D123" s="53" t="s">
        <v>243</v>
      </c>
      <c r="E123" s="54" t="s">
        <v>244</v>
      </c>
      <c r="F123" s="55" t="s">
        <v>171</v>
      </c>
      <c r="G123" s="56">
        <v>4</v>
      </c>
      <c r="H123" s="57">
        <v>370</v>
      </c>
      <c r="I123" s="58">
        <f>ROUND(H123*G123,2)</f>
        <v>1480</v>
      </c>
      <c r="J123" s="59"/>
      <c r="K123" s="70"/>
      <c r="L123" s="65">
        <f>M123-G123</f>
        <v>2</v>
      </c>
      <c r="M123" s="65">
        <f>M121</f>
        <v>6</v>
      </c>
      <c r="N123" s="68">
        <f>ROUND(L123*H123,2)</f>
        <v>740</v>
      </c>
      <c r="O123" s="87">
        <v>0.111</v>
      </c>
      <c r="P123" s="77">
        <f>O123*L123</f>
        <v>0.222</v>
      </c>
      <c r="Q123" s="91" t="s">
        <v>310</v>
      </c>
    </row>
    <row r="124" spans="1:17" s="5" customFormat="1" ht="37.9" customHeight="1" x14ac:dyDescent="0.25">
      <c r="A124" s="4"/>
      <c r="B124" s="25" t="s">
        <v>245</v>
      </c>
      <c r="C124" s="25" t="s">
        <v>41</v>
      </c>
      <c r="D124" s="26" t="s">
        <v>246</v>
      </c>
      <c r="E124" s="27" t="s">
        <v>247</v>
      </c>
      <c r="F124" s="28" t="s">
        <v>44</v>
      </c>
      <c r="G124" s="29">
        <v>14.976000000000001</v>
      </c>
      <c r="H124" s="30">
        <v>6240</v>
      </c>
      <c r="I124" s="31">
        <f>ROUND(H124*G124,2)</f>
        <v>93450.240000000005</v>
      </c>
      <c r="J124" s="32"/>
      <c r="K124" s="70"/>
      <c r="L124" s="65">
        <v>0</v>
      </c>
      <c r="M124" s="65">
        <f>L124+G124</f>
        <v>14.976000000000001</v>
      </c>
      <c r="N124" s="68">
        <f>ROUND(L124*H124,2)</f>
        <v>0</v>
      </c>
      <c r="P124" s="77"/>
      <c r="Q124" s="91"/>
    </row>
    <row r="125" spans="1:17" s="35" customFormat="1" x14ac:dyDescent="0.25">
      <c r="A125" s="34"/>
      <c r="C125" s="36" t="s">
        <v>46</v>
      </c>
      <c r="D125" s="37" t="s">
        <v>1</v>
      </c>
      <c r="E125" s="38" t="s">
        <v>248</v>
      </c>
      <c r="G125" s="39">
        <v>14.976000000000001</v>
      </c>
      <c r="H125" s="40"/>
      <c r="K125" s="74"/>
      <c r="L125" s="81"/>
      <c r="M125" s="64"/>
      <c r="N125" s="69"/>
      <c r="P125" s="39"/>
      <c r="Q125" s="90"/>
    </row>
    <row r="126" spans="1:17" s="5" customFormat="1" ht="24.2" customHeight="1" x14ac:dyDescent="0.25">
      <c r="A126" s="4"/>
      <c r="B126" s="25" t="s">
        <v>249</v>
      </c>
      <c r="C126" s="25" t="s">
        <v>41</v>
      </c>
      <c r="D126" s="26" t="s">
        <v>250</v>
      </c>
      <c r="E126" s="27" t="s">
        <v>251</v>
      </c>
      <c r="F126" s="28" t="s">
        <v>171</v>
      </c>
      <c r="G126" s="29">
        <v>2</v>
      </c>
      <c r="H126" s="30">
        <v>385</v>
      </c>
      <c r="I126" s="31">
        <f>ROUND(H126*G126,2)</f>
        <v>770</v>
      </c>
      <c r="J126" s="32"/>
      <c r="K126" s="70"/>
      <c r="L126" s="65">
        <v>0</v>
      </c>
      <c r="M126" s="65">
        <f>L126+G126</f>
        <v>2</v>
      </c>
      <c r="N126" s="68">
        <f>ROUND(L126*H126,2)</f>
        <v>0</v>
      </c>
      <c r="P126" s="77"/>
      <c r="Q126" s="91"/>
    </row>
    <row r="127" spans="1:17" s="35" customFormat="1" x14ac:dyDescent="0.25">
      <c r="A127" s="34"/>
      <c r="C127" s="36" t="s">
        <v>46</v>
      </c>
      <c r="D127" s="37" t="s">
        <v>1</v>
      </c>
      <c r="E127" s="38" t="s">
        <v>211</v>
      </c>
      <c r="G127" s="39">
        <v>2</v>
      </c>
      <c r="H127" s="40"/>
      <c r="K127" s="74"/>
      <c r="L127" s="81"/>
      <c r="M127" s="64"/>
      <c r="N127" s="69"/>
      <c r="P127" s="39"/>
      <c r="Q127" s="90"/>
    </row>
    <row r="128" spans="1:17" s="5" customFormat="1" ht="21.75" customHeight="1" x14ac:dyDescent="0.25">
      <c r="A128" s="4"/>
      <c r="B128" s="52" t="s">
        <v>252</v>
      </c>
      <c r="C128" s="52" t="s">
        <v>98</v>
      </c>
      <c r="D128" s="53" t="s">
        <v>253</v>
      </c>
      <c r="E128" s="54" t="s">
        <v>254</v>
      </c>
      <c r="F128" s="55" t="s">
        <v>171</v>
      </c>
      <c r="G128" s="56">
        <v>2</v>
      </c>
      <c r="H128" s="57">
        <v>5527</v>
      </c>
      <c r="I128" s="58">
        <f>ROUND(H128*G128,2)</f>
        <v>11054</v>
      </c>
      <c r="J128" s="59"/>
      <c r="K128" s="70"/>
      <c r="L128" s="65">
        <f>M128-G128</f>
        <v>2</v>
      </c>
      <c r="M128" s="65">
        <f>2+2</f>
        <v>4</v>
      </c>
      <c r="N128" s="68">
        <f>ROUND(L128*H128,2)</f>
        <v>11054</v>
      </c>
      <c r="O128" s="87">
        <v>0.19600000000000001</v>
      </c>
      <c r="P128" s="77">
        <f t="shared" ref="P128:P129" si="3">O128*L128</f>
        <v>0.39200000000000002</v>
      </c>
      <c r="Q128" s="91" t="s">
        <v>310</v>
      </c>
    </row>
    <row r="129" spans="1:17" s="5" customFormat="1" ht="24.2" customHeight="1" x14ac:dyDescent="0.25">
      <c r="A129" s="4"/>
      <c r="B129" s="25" t="s">
        <v>255</v>
      </c>
      <c r="C129" s="25" t="s">
        <v>41</v>
      </c>
      <c r="D129" s="26" t="s">
        <v>256</v>
      </c>
      <c r="E129" s="27" t="s">
        <v>257</v>
      </c>
      <c r="F129" s="28" t="s">
        <v>171</v>
      </c>
      <c r="G129" s="29">
        <v>6</v>
      </c>
      <c r="H129" s="30">
        <v>385</v>
      </c>
      <c r="I129" s="31">
        <f>ROUND(H129*G129,2)</f>
        <v>2310</v>
      </c>
      <c r="J129" s="32"/>
      <c r="K129" s="70"/>
      <c r="L129" s="65">
        <f>M129-G129</f>
        <v>2</v>
      </c>
      <c r="M129" s="65">
        <f>L130</f>
        <v>8</v>
      </c>
      <c r="N129" s="68">
        <f>ROUND(L129*H129,2)</f>
        <v>770</v>
      </c>
      <c r="O129" s="87">
        <v>0.21734000000000001</v>
      </c>
      <c r="P129" s="77">
        <f t="shared" si="3"/>
        <v>0.43468000000000001</v>
      </c>
      <c r="Q129" s="91" t="s">
        <v>310</v>
      </c>
    </row>
    <row r="130" spans="1:17" s="35" customFormat="1" ht="15" customHeight="1" x14ac:dyDescent="0.25">
      <c r="A130" s="34"/>
      <c r="C130" s="36" t="s">
        <v>46</v>
      </c>
      <c r="D130" s="37" t="s">
        <v>1</v>
      </c>
      <c r="E130" s="38" t="s">
        <v>227</v>
      </c>
      <c r="G130" s="39">
        <v>6</v>
      </c>
      <c r="H130" s="40"/>
      <c r="K130" s="74"/>
      <c r="L130" s="81">
        <f>6+2</f>
        <v>8</v>
      </c>
      <c r="M130" s="112" t="s">
        <v>291</v>
      </c>
      <c r="N130" s="113"/>
      <c r="P130" s="39"/>
      <c r="Q130" s="90"/>
    </row>
    <row r="131" spans="1:17" s="5" customFormat="1" ht="16.5" customHeight="1" x14ac:dyDescent="0.25">
      <c r="A131" s="4"/>
      <c r="B131" s="52" t="s">
        <v>258</v>
      </c>
      <c r="C131" s="52" t="s">
        <v>98</v>
      </c>
      <c r="D131" s="53" t="s">
        <v>259</v>
      </c>
      <c r="E131" s="54" t="s">
        <v>260</v>
      </c>
      <c r="F131" s="55" t="s">
        <v>171</v>
      </c>
      <c r="G131" s="56">
        <v>6</v>
      </c>
      <c r="H131" s="57">
        <v>3620</v>
      </c>
      <c r="I131" s="58">
        <f>ROUND(H131*G131,2)</f>
        <v>21720</v>
      </c>
      <c r="J131" s="59"/>
      <c r="K131" s="70"/>
      <c r="L131" s="65">
        <f>M131-G131</f>
        <v>2</v>
      </c>
      <c r="M131" s="65">
        <f>M129</f>
        <v>8</v>
      </c>
      <c r="N131" s="68">
        <f>ROUND(L131*H131,2)</f>
        <v>7240</v>
      </c>
      <c r="O131" s="87">
        <v>5.0599999999999999E-2</v>
      </c>
      <c r="P131" s="77">
        <f t="shared" ref="P131:P132" si="4">O131*L131</f>
        <v>0.1012</v>
      </c>
      <c r="Q131" s="91" t="s">
        <v>310</v>
      </c>
    </row>
    <row r="132" spans="1:17" s="5" customFormat="1" ht="24.2" customHeight="1" x14ac:dyDescent="0.25">
      <c r="A132" s="4"/>
      <c r="B132" s="52" t="s">
        <v>261</v>
      </c>
      <c r="C132" s="52" t="s">
        <v>98</v>
      </c>
      <c r="D132" s="53" t="s">
        <v>262</v>
      </c>
      <c r="E132" s="54" t="s">
        <v>263</v>
      </c>
      <c r="F132" s="55" t="s">
        <v>171</v>
      </c>
      <c r="G132" s="56">
        <v>6</v>
      </c>
      <c r="H132" s="57">
        <v>218</v>
      </c>
      <c r="I132" s="58">
        <f>ROUND(H132*G132,2)</f>
        <v>1308</v>
      </c>
      <c r="J132" s="59"/>
      <c r="K132" s="70"/>
      <c r="L132" s="65">
        <f>M132-G132</f>
        <v>2</v>
      </c>
      <c r="M132" s="65">
        <f>L133</f>
        <v>8</v>
      </c>
      <c r="N132" s="68">
        <f>ROUND(L132*H132,2)</f>
        <v>436</v>
      </c>
      <c r="O132" s="87">
        <v>2.7E-2</v>
      </c>
      <c r="P132" s="77">
        <f t="shared" si="4"/>
        <v>5.3999999999999999E-2</v>
      </c>
      <c r="Q132" s="91" t="s">
        <v>310</v>
      </c>
    </row>
    <row r="133" spans="1:17" s="35" customFormat="1" ht="15" customHeight="1" x14ac:dyDescent="0.25">
      <c r="A133" s="34"/>
      <c r="C133" s="36" t="s">
        <v>46</v>
      </c>
      <c r="D133" s="37" t="s">
        <v>1</v>
      </c>
      <c r="E133" s="38" t="s">
        <v>227</v>
      </c>
      <c r="G133" s="39">
        <v>6</v>
      </c>
      <c r="H133" s="40"/>
      <c r="K133" s="74"/>
      <c r="L133" s="81">
        <f>6+2</f>
        <v>8</v>
      </c>
      <c r="M133" s="112" t="s">
        <v>291</v>
      </c>
      <c r="N133" s="113"/>
      <c r="P133" s="39"/>
      <c r="Q133" s="90"/>
    </row>
    <row r="134" spans="1:17" s="5" customFormat="1" ht="24.2" customHeight="1" x14ac:dyDescent="0.25">
      <c r="A134" s="4"/>
      <c r="B134" s="52" t="s">
        <v>264</v>
      </c>
      <c r="C134" s="52" t="s">
        <v>98</v>
      </c>
      <c r="D134" s="53" t="s">
        <v>265</v>
      </c>
      <c r="E134" s="54" t="s">
        <v>266</v>
      </c>
      <c r="F134" s="55" t="s">
        <v>171</v>
      </c>
      <c r="G134" s="56">
        <v>2</v>
      </c>
      <c r="H134" s="57">
        <v>949</v>
      </c>
      <c r="I134" s="58">
        <f>ROUND(H134*G134,2)</f>
        <v>1898</v>
      </c>
      <c r="J134" s="59"/>
      <c r="K134" s="70"/>
      <c r="L134" s="65">
        <f>M134-G134</f>
        <v>2</v>
      </c>
      <c r="M134" s="65">
        <f>L135</f>
        <v>4</v>
      </c>
      <c r="N134" s="68">
        <f>ROUND(L134*H134,2)</f>
        <v>1898</v>
      </c>
      <c r="O134" s="87">
        <v>3.0000000000000001E-3</v>
      </c>
      <c r="P134" s="77">
        <f>O134*L134</f>
        <v>6.0000000000000001E-3</v>
      </c>
      <c r="Q134" s="91" t="s">
        <v>310</v>
      </c>
    </row>
    <row r="135" spans="1:17" s="35" customFormat="1" ht="15" customHeight="1" x14ac:dyDescent="0.25">
      <c r="A135" s="34"/>
      <c r="C135" s="36" t="s">
        <v>46</v>
      </c>
      <c r="D135" s="37" t="s">
        <v>1</v>
      </c>
      <c r="E135" s="38" t="s">
        <v>234</v>
      </c>
      <c r="G135" s="39">
        <v>2</v>
      </c>
      <c r="H135" s="40"/>
      <c r="K135" s="74"/>
      <c r="L135" s="81">
        <f>2+2</f>
        <v>4</v>
      </c>
      <c r="M135" s="112" t="s">
        <v>293</v>
      </c>
      <c r="N135" s="113"/>
      <c r="P135" s="39"/>
    </row>
    <row r="136" spans="1:17" s="5" customFormat="1" ht="24.2" customHeight="1" x14ac:dyDescent="0.25">
      <c r="A136" s="4"/>
      <c r="B136" s="52" t="s">
        <v>267</v>
      </c>
      <c r="C136" s="52" t="s">
        <v>98</v>
      </c>
      <c r="D136" s="53" t="s">
        <v>268</v>
      </c>
      <c r="E136" s="54" t="s">
        <v>269</v>
      </c>
      <c r="F136" s="55" t="s">
        <v>171</v>
      </c>
      <c r="G136" s="56">
        <v>4</v>
      </c>
      <c r="H136" s="57">
        <v>1453</v>
      </c>
      <c r="I136" s="58">
        <f>ROUND(H136*G136,2)</f>
        <v>5812</v>
      </c>
      <c r="J136" s="59"/>
      <c r="K136" s="70"/>
      <c r="L136" s="65">
        <v>0</v>
      </c>
      <c r="M136" s="65">
        <f>L136+G136</f>
        <v>4</v>
      </c>
      <c r="N136" s="68">
        <f>ROUND(L136*H136,2)</f>
        <v>0</v>
      </c>
      <c r="P136" s="77"/>
    </row>
    <row r="137" spans="1:17" s="35" customFormat="1" x14ac:dyDescent="0.25">
      <c r="A137" s="34"/>
      <c r="C137" s="36" t="s">
        <v>46</v>
      </c>
      <c r="D137" s="37" t="s">
        <v>1</v>
      </c>
      <c r="E137" s="38" t="s">
        <v>241</v>
      </c>
      <c r="G137" s="39">
        <v>4</v>
      </c>
      <c r="H137" s="40"/>
      <c r="K137" s="74"/>
      <c r="L137" s="81"/>
      <c r="M137" s="64"/>
      <c r="N137" s="69"/>
      <c r="P137" s="39"/>
    </row>
    <row r="138" spans="1:17" s="18" customFormat="1" ht="22.9" customHeight="1" x14ac:dyDescent="0.2">
      <c r="A138" s="17"/>
      <c r="C138" s="19" t="s">
        <v>36</v>
      </c>
      <c r="D138" s="23" t="s">
        <v>80</v>
      </c>
      <c r="E138" s="23" t="s">
        <v>270</v>
      </c>
      <c r="H138" s="21"/>
      <c r="I138" s="24">
        <f>SUM(I139:I140)</f>
        <v>4092.48</v>
      </c>
      <c r="K138" s="73"/>
      <c r="L138" s="80"/>
      <c r="M138" s="61"/>
      <c r="N138" s="63">
        <f>SUM(N139:N140)</f>
        <v>1624</v>
      </c>
      <c r="P138" s="83"/>
    </row>
    <row r="139" spans="1:17" s="5" customFormat="1" ht="24.2" customHeight="1" x14ac:dyDescent="0.25">
      <c r="A139" s="4"/>
      <c r="B139" s="25" t="s">
        <v>271</v>
      </c>
      <c r="C139" s="25" t="s">
        <v>41</v>
      </c>
      <c r="D139" s="26" t="s">
        <v>272</v>
      </c>
      <c r="E139" s="27" t="s">
        <v>273</v>
      </c>
      <c r="F139" s="28" t="s">
        <v>64</v>
      </c>
      <c r="G139" s="29">
        <v>116.928</v>
      </c>
      <c r="H139" s="30">
        <v>35</v>
      </c>
      <c r="I139" s="31">
        <f>ROUND(H139*G139,2)</f>
        <v>4092.48</v>
      </c>
      <c r="J139" s="32"/>
      <c r="K139" s="70"/>
      <c r="L139" s="65">
        <f>M139-G139</f>
        <v>46.400000000000006</v>
      </c>
      <c r="M139" s="65">
        <f>L140</f>
        <v>163.328</v>
      </c>
      <c r="N139" s="68">
        <f>ROUND(L139*H139,2)</f>
        <v>1624</v>
      </c>
      <c r="O139" s="87">
        <v>4.6999999999999999E-4</v>
      </c>
      <c r="P139" s="77">
        <f>O139*L139</f>
        <v>2.1808000000000001E-2</v>
      </c>
      <c r="Q139" s="5" t="s">
        <v>310</v>
      </c>
    </row>
    <row r="140" spans="1:17" s="35" customFormat="1" ht="15" customHeight="1" x14ac:dyDescent="0.25">
      <c r="A140" s="34"/>
      <c r="C140" s="36" t="s">
        <v>46</v>
      </c>
      <c r="D140" s="37" t="s">
        <v>1</v>
      </c>
      <c r="E140" s="38" t="s">
        <v>274</v>
      </c>
      <c r="G140" s="39">
        <v>116.928</v>
      </c>
      <c r="H140" s="40"/>
      <c r="K140" s="74"/>
      <c r="L140" s="81">
        <f xml:space="preserve"> 34*1.2*2+(34*2+1.2*2)*1.12+1.2*0.6*2*2</f>
        <v>163.328</v>
      </c>
      <c r="M140" s="64" t="s">
        <v>294</v>
      </c>
      <c r="N140" s="64"/>
      <c r="P140" s="39"/>
    </row>
    <row r="141" spans="1:17" s="18" customFormat="1" ht="22.9" customHeight="1" x14ac:dyDescent="0.2">
      <c r="A141" s="17"/>
      <c r="C141" s="19" t="s">
        <v>36</v>
      </c>
      <c r="D141" s="23" t="s">
        <v>275</v>
      </c>
      <c r="E141" s="23" t="s">
        <v>276</v>
      </c>
      <c r="H141" s="21"/>
      <c r="I141" s="24">
        <f>SUM(I142)</f>
        <v>25573.74</v>
      </c>
      <c r="K141" s="73"/>
      <c r="L141" s="80"/>
      <c r="M141" s="61"/>
      <c r="N141" s="63">
        <f>SUM(N142)</f>
        <v>36529.919999999998</v>
      </c>
      <c r="P141" s="83"/>
    </row>
    <row r="142" spans="1:17" s="5" customFormat="1" ht="24.2" customHeight="1" x14ac:dyDescent="0.25">
      <c r="A142" s="4"/>
      <c r="B142" s="25" t="s">
        <v>277</v>
      </c>
      <c r="C142" s="25" t="s">
        <v>41</v>
      </c>
      <c r="D142" s="26" t="s">
        <v>278</v>
      </c>
      <c r="E142" s="27" t="s">
        <v>279</v>
      </c>
      <c r="F142" s="28" t="s">
        <v>83</v>
      </c>
      <c r="G142" s="29">
        <v>228.33699999999999</v>
      </c>
      <c r="H142" s="30">
        <v>112</v>
      </c>
      <c r="I142" s="31">
        <f>ROUND(H142*G142,2)</f>
        <v>25573.74</v>
      </c>
      <c r="J142" s="32"/>
      <c r="K142" s="70"/>
      <c r="L142" s="65">
        <f>M142-G142</f>
        <v>326.16000000000008</v>
      </c>
      <c r="M142" s="65">
        <f>228.337+326.16</f>
        <v>554.49700000000007</v>
      </c>
      <c r="N142" s="68">
        <f>ROUND(L142*H142,2)</f>
        <v>36529.919999999998</v>
      </c>
      <c r="O142" s="87">
        <v>0</v>
      </c>
      <c r="P142" s="77">
        <f>O142*L142</f>
        <v>0</v>
      </c>
      <c r="Q142" s="91"/>
    </row>
    <row r="143" spans="1:17" s="5" customFormat="1" ht="24.2" customHeight="1" x14ac:dyDescent="0.2">
      <c r="B143" s="18"/>
      <c r="C143" s="19" t="s">
        <v>36</v>
      </c>
      <c r="D143" s="23"/>
      <c r="E143" s="23" t="s">
        <v>309</v>
      </c>
      <c r="F143" s="18"/>
      <c r="G143" s="18"/>
      <c r="H143" s="21"/>
      <c r="I143" s="24"/>
      <c r="J143" s="18"/>
      <c r="K143" s="73"/>
      <c r="L143" s="80"/>
      <c r="M143" s="61"/>
      <c r="N143" s="63">
        <f>SUM(N144:N146)</f>
        <v>558711.25</v>
      </c>
      <c r="O143" s="87"/>
      <c r="P143" s="77"/>
    </row>
    <row r="144" spans="1:17" s="5" customFormat="1" ht="24.2" customHeight="1" x14ac:dyDescent="0.25">
      <c r="B144" s="25">
        <v>1</v>
      </c>
      <c r="C144" s="25" t="s">
        <v>41</v>
      </c>
      <c r="D144" s="26">
        <v>115101241</v>
      </c>
      <c r="E144" s="27" t="s">
        <v>299</v>
      </c>
      <c r="F144" s="28" t="s">
        <v>300</v>
      </c>
      <c r="G144" s="29">
        <v>0</v>
      </c>
      <c r="H144" s="30">
        <v>248</v>
      </c>
      <c r="I144" s="31">
        <f>ROUND(H144*G144,2)</f>
        <v>0</v>
      </c>
      <c r="J144" s="32"/>
      <c r="K144" s="70"/>
      <c r="L144" s="65">
        <v>168</v>
      </c>
      <c r="M144" s="65">
        <f>L144+G144</f>
        <v>168</v>
      </c>
      <c r="N144" s="68">
        <f>ROUND(L144*H144,2)</f>
        <v>41664</v>
      </c>
      <c r="O144" s="87">
        <v>2.9999999999999997E-4</v>
      </c>
      <c r="P144" s="77">
        <f>O144*L144</f>
        <v>5.0399999999999993E-2</v>
      </c>
      <c r="Q144" s="91"/>
    </row>
    <row r="145" spans="2:23" s="5" customFormat="1" ht="28.5" customHeight="1" x14ac:dyDescent="0.25">
      <c r="B145" s="25">
        <v>2</v>
      </c>
      <c r="C145" s="25" t="s">
        <v>41</v>
      </c>
      <c r="D145" s="26">
        <v>464531111</v>
      </c>
      <c r="E145" s="27" t="s">
        <v>304</v>
      </c>
      <c r="F145" s="28" t="s">
        <v>301</v>
      </c>
      <c r="G145" s="29">
        <v>0</v>
      </c>
      <c r="H145" s="30">
        <v>1480</v>
      </c>
      <c r="I145" s="31">
        <f t="shared" ref="I145:I146" si="5">ROUND(H145*G145,2)</f>
        <v>0</v>
      </c>
      <c r="J145" s="32"/>
      <c r="K145" s="70"/>
      <c r="L145" s="65">
        <v>145</v>
      </c>
      <c r="M145" s="65">
        <f>L145+G145</f>
        <v>145</v>
      </c>
      <c r="N145" s="68">
        <f>ROUND(L145*H145,2)</f>
        <v>214600</v>
      </c>
      <c r="O145" s="87">
        <v>2.16</v>
      </c>
      <c r="P145" s="77">
        <f>O145*L145</f>
        <v>313.20000000000005</v>
      </c>
      <c r="Q145" s="91"/>
    </row>
    <row r="146" spans="2:23" ht="36" x14ac:dyDescent="0.2">
      <c r="B146" s="25">
        <v>3</v>
      </c>
      <c r="C146" s="25" t="s">
        <v>41</v>
      </c>
      <c r="D146" s="26">
        <v>469973114</v>
      </c>
      <c r="E146" s="27" t="s">
        <v>306</v>
      </c>
      <c r="F146" s="28" t="s">
        <v>83</v>
      </c>
      <c r="G146" s="29">
        <v>0</v>
      </c>
      <c r="H146" s="30">
        <v>2100</v>
      </c>
      <c r="I146" s="31">
        <f t="shared" si="5"/>
        <v>0</v>
      </c>
      <c r="J146" s="32"/>
      <c r="K146" s="70"/>
      <c r="L146" s="65">
        <v>144.02250000000001</v>
      </c>
      <c r="M146" s="65">
        <f>L147</f>
        <v>144.02250000000001</v>
      </c>
      <c r="N146" s="68">
        <f>ROUND(L146*H146,2)</f>
        <v>302447.25</v>
      </c>
      <c r="O146" s="87">
        <v>0</v>
      </c>
      <c r="P146" s="77">
        <f>O146*L146</f>
        <v>0</v>
      </c>
      <c r="Q146" s="96"/>
      <c r="W146" s="1" t="s">
        <v>314</v>
      </c>
    </row>
    <row r="147" spans="2:23" ht="15" customHeight="1" x14ac:dyDescent="0.2">
      <c r="L147" s="81">
        <f>77.85*1.85</f>
        <v>144.02250000000001</v>
      </c>
      <c r="M147" s="114" t="s">
        <v>308</v>
      </c>
      <c r="N147" s="115"/>
      <c r="O147" s="1"/>
    </row>
    <row r="148" spans="2:23" x14ac:dyDescent="0.2">
      <c r="O148" s="1"/>
    </row>
    <row r="149" spans="2:23" x14ac:dyDescent="0.2">
      <c r="O149" s="1"/>
    </row>
    <row r="150" spans="2:23" x14ac:dyDescent="0.2">
      <c r="O150" s="1"/>
    </row>
    <row r="151" spans="2:23" x14ac:dyDescent="0.2">
      <c r="O151" s="1"/>
    </row>
    <row r="152" spans="2:23" x14ac:dyDescent="0.2">
      <c r="O152" s="1"/>
    </row>
    <row r="153" spans="2:23" x14ac:dyDescent="0.2">
      <c r="O153" s="1"/>
    </row>
    <row r="154" spans="2:23" x14ac:dyDescent="0.2">
      <c r="O154" s="1"/>
    </row>
    <row r="155" spans="2:23" x14ac:dyDescent="0.2">
      <c r="O155" s="1"/>
    </row>
    <row r="156" spans="2:23" x14ac:dyDescent="0.2">
      <c r="O156" s="1"/>
    </row>
    <row r="157" spans="2:23" x14ac:dyDescent="0.2">
      <c r="O157" s="1"/>
    </row>
    <row r="158" spans="2:23" x14ac:dyDescent="0.2">
      <c r="O158" s="1"/>
    </row>
    <row r="159" spans="2:23" x14ac:dyDescent="0.2">
      <c r="O159" s="1"/>
    </row>
    <row r="160" spans="2:23" x14ac:dyDescent="0.2">
      <c r="O160" s="1"/>
    </row>
    <row r="161" spans="15:15" x14ac:dyDescent="0.2">
      <c r="O161" s="1"/>
    </row>
    <row r="162" spans="15:15" x14ac:dyDescent="0.2">
      <c r="O162" s="1"/>
    </row>
    <row r="163" spans="15:15" x14ac:dyDescent="0.2">
      <c r="O163" s="1"/>
    </row>
    <row r="164" spans="15:15" x14ac:dyDescent="0.2">
      <c r="O164" s="1"/>
    </row>
    <row r="165" spans="15:15" x14ac:dyDescent="0.2">
      <c r="O165" s="1"/>
    </row>
    <row r="166" spans="15:15" x14ac:dyDescent="0.2">
      <c r="O166" s="1"/>
    </row>
    <row r="167" spans="15:15" x14ac:dyDescent="0.2">
      <c r="O167" s="1"/>
    </row>
    <row r="168" spans="15:15" x14ac:dyDescent="0.2">
      <c r="O168" s="1"/>
    </row>
    <row r="169" spans="15:15" x14ac:dyDescent="0.2">
      <c r="O169" s="1"/>
    </row>
    <row r="170" spans="15:15" x14ac:dyDescent="0.2">
      <c r="O170" s="1"/>
    </row>
  </sheetData>
  <autoFilter ref="A1:P170" xr:uid="{12F4531A-2651-4908-B5AF-199FCBA7AF3C}"/>
  <mergeCells count="17">
    <mergeCell ref="M116:N116"/>
    <mergeCell ref="M30:N30"/>
    <mergeCell ref="M38:N38"/>
    <mergeCell ref="M42:N42"/>
    <mergeCell ref="M40:N40"/>
    <mergeCell ref="M91:N91"/>
    <mergeCell ref="M82:N82"/>
    <mergeCell ref="D2:G2"/>
    <mergeCell ref="D3:G3"/>
    <mergeCell ref="M17:N17"/>
    <mergeCell ref="L8:N8"/>
    <mergeCell ref="M71:N71"/>
    <mergeCell ref="M135:N135"/>
    <mergeCell ref="M147:N147"/>
    <mergeCell ref="M122:N122"/>
    <mergeCell ref="M130:N130"/>
    <mergeCell ref="M133:N133"/>
  </mergeCells>
  <pageMargins left="0.25" right="0.25" top="0.75" bottom="0.75" header="0.3" footer="0.3"/>
  <pageSetup paperSize="9" scale="4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Odvodnění komunikace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 Recyklostav</dc:creator>
  <cp:lastModifiedBy>Chobotský Jan</cp:lastModifiedBy>
  <cp:lastPrinted>2024-11-25T06:41:28Z</cp:lastPrinted>
  <dcterms:created xsi:type="dcterms:W3CDTF">2024-11-13T11:16:41Z</dcterms:created>
  <dcterms:modified xsi:type="dcterms:W3CDTF">2024-12-05T07:44:18Z</dcterms:modified>
</cp:coreProperties>
</file>